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C:\Users\n.torggler\Desktop\LSM\FINAL\"/>
    </mc:Choice>
  </mc:AlternateContent>
  <xr:revisionPtr revIDLastSave="0" documentId="13_ncr:1_{F7FD075D-C795-45F3-A3BF-8BFDEBE5F58B}" xr6:coauthVersionLast="47" xr6:coauthVersionMax="47" xr10:uidLastSave="{00000000-0000-0000-0000-000000000000}"/>
  <workbookProtection workbookAlgorithmName="SHA-512" workbookHashValue="WHvqyfZTa6b4sg9xKWVIF92badJ/y07ckzfr4Df1Fulwm+g+ZkqaxZZ05vDq95NSTt2t8snRA6h9JznOHkn7+w==" workbookSaltValue="SJYjUWN9PaZAkx+9JhHHqg==" workbookSpinCount="100000" lockStructure="1"/>
  <bookViews>
    <workbookView xWindow="-120" yWindow="-120" windowWidth="38640" windowHeight="23520" tabRatio="587" xr2:uid="{00000000-000D-0000-FFFF-FFFF00000000}"/>
  </bookViews>
  <sheets>
    <sheet name="1.0 Allgemeines" sheetId="47" r:id="rId1"/>
    <sheet name="1.0a Rüstzeiten" sheetId="52" r:id="rId2"/>
    <sheet name="1.1 Vortriebsdauer Kalotte HR" sheetId="35" r:id="rId3"/>
    <sheet name="1.2 Lohnstunden Kalotte HR" sheetId="34" r:id="rId4"/>
    <sheet name="1.3 Lohnstunden sonst. TL HR" sheetId="38" r:id="rId5"/>
    <sheet name="1.4 Vortriebsdauer Str_So HR" sheetId="17" r:id="rId6"/>
    <sheet name="1.5 Lohnstunden Str_So HR" sheetId="40" r:id="rId7"/>
    <sheet name="1.6 Vortriebsdauer HR" sheetId="30" r:id="rId8"/>
    <sheet name="2.1 Vortriebsdauer Ka_Str RST" sheetId="41" r:id="rId9"/>
    <sheet name="2.2 Lohnstunden Ka_Str RST" sheetId="42" r:id="rId10"/>
    <sheet name="2.3 Vortriebsdauer So RST" sheetId="43" r:id="rId11"/>
    <sheet name="2.4 Lohnstunden So RST" sheetId="46" r:id="rId12"/>
    <sheet name="2.5 Vortriebsdauer RST" sheetId="45" r:id="rId13"/>
    <sheet name="3.1 Vortriebsdauer Str_So LB" sheetId="49" r:id="rId14"/>
    <sheet name="3.2 Lohnstunden Str_So LB" sheetId="50" r:id="rId15"/>
    <sheet name="3.3 Vortriebsdauer LB" sheetId="51" r:id="rId16"/>
    <sheet name="4.1 Teilbauzeit 2" sheetId="48" r:id="rId17"/>
    <sheet name="4.2 Gesamtbauzeit" sheetId="11" r:id="rId18"/>
    <sheet name="5 Gesamtbetonierzeit" sheetId="14" r:id="rId19"/>
  </sheets>
  <definedNames>
    <definedName name="_xlnm._FilterDatabase" localSheetId="3" hidden="1">'1.2 Lohnstunden Kalotte HR'!$A$3:$J$144</definedName>
    <definedName name="_xlnm._FilterDatabase" localSheetId="6" hidden="1">'1.5 Lohnstunden Str_So HR'!$A$3:$J$114</definedName>
    <definedName name="_xlnm._FilterDatabase" localSheetId="9" hidden="1">'2.2 Lohnstunden Ka_Str RST'!$A$2:$J$58</definedName>
    <definedName name="_xlnm._FilterDatabase" localSheetId="11" hidden="1">'2.4 Lohnstunden So RST'!$A$3:$J$34</definedName>
    <definedName name="_xlnm._FilterDatabase" localSheetId="14" hidden="1">'3.2 Lohnstunden Str_So LB'!$A$3:$I$15</definedName>
    <definedName name="_xlnm.Print_Area" localSheetId="1">'1.0a Rüstzeiten'!$A$1:$H$27</definedName>
    <definedName name="_xlnm.Print_Area" localSheetId="3">'1.2 Lohnstunden Kalotte HR'!$A$2:$J$144</definedName>
    <definedName name="_xlnm.Print_Area" localSheetId="4">'1.3 Lohnstunden sonst. TL HR'!$A$1:$F$19</definedName>
    <definedName name="_xlnm.Print_Area" localSheetId="9">'2.2 Lohnstunden Ka_Str RST'!$A$1:$J$60</definedName>
    <definedName name="_xlnm.Print_Area" localSheetId="11">'2.4 Lohnstunden So RST'!$A$2:$J$36</definedName>
    <definedName name="_xlnm.Print_Area" localSheetId="14">'3.2 Lohnstunden Str_So LB'!$A$1:$I$21</definedName>
    <definedName name="_xlnm.Print_Titles" localSheetId="3">'1.2 Lohnstunden Kalotte HR'!$2:$3</definedName>
    <definedName name="_xlnm.Print_Titles" localSheetId="4">'1.3 Lohnstunden sonst. TL HR'!$2:$3</definedName>
    <definedName name="_xlnm.Print_Titles" localSheetId="6">'1.5 Lohnstunden Str_So HR'!$2:$3</definedName>
    <definedName name="_xlnm.Print_Titles" localSheetId="9">'2.2 Lohnstunden Ka_Str RST'!$1:$2</definedName>
    <definedName name="_xlnm.Print_Titles" localSheetId="11">'2.4 Lohnstunden So RST'!$2:$3</definedName>
    <definedName name="_xlnm.Print_Titles" localSheetId="14">'3.2 Lohnstunden Str_So LB'!$2:$3</definedName>
    <definedName name="Print_Area" localSheetId="3">'1.2 Lohnstunden Kalotte HR'!$A$1:$K$142</definedName>
    <definedName name="Print_Area" localSheetId="4">'1.3 Lohnstunden sonst. TL HR'!$A$2:$F$17</definedName>
    <definedName name="Print_Area" localSheetId="6">'1.5 Lohnstunden Str_So HR'!$A$1:$K$114</definedName>
    <definedName name="Print_Area" localSheetId="9">'2.2 Lohnstunden Ka_Str RST'!$A$1:$K$58</definedName>
    <definedName name="Print_Area" localSheetId="11">'2.4 Lohnstunden So RST'!$A$1:$K$34</definedName>
    <definedName name="Print_Area" localSheetId="14">'3.2 Lohnstunden Str_So LB'!$A$1:$J$18</definedName>
    <definedName name="Print_Titles" localSheetId="3">'1.2 Lohnstunden Kalotte HR'!$2:$3</definedName>
    <definedName name="Print_Titles" localSheetId="4">'1.3 Lohnstunden sonst. TL HR'!$2:$3</definedName>
    <definedName name="Print_Titles" localSheetId="6">'1.5 Lohnstunden Str_So HR'!$2:$3</definedName>
    <definedName name="Print_Titles" localSheetId="9">'2.2 Lohnstunden Ka_Str RST'!$1:$2</definedName>
    <definedName name="Print_Titles" localSheetId="11">'2.4 Lohnstunden So RST'!$2:$3</definedName>
    <definedName name="Print_Titles" localSheetId="14">'3.2 Lohnstunden Str_So LB'!$2:$3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43" l="1"/>
  <c r="G5" i="43"/>
  <c r="G11" i="17"/>
  <c r="F52" i="47"/>
  <c r="A52" i="47"/>
  <c r="I64" i="34"/>
  <c r="E48" i="42"/>
  <c r="E30" i="42"/>
  <c r="E13" i="42"/>
  <c r="D12" i="50"/>
  <c r="D11" i="50"/>
  <c r="D30" i="46"/>
  <c r="D29" i="46"/>
  <c r="D18" i="46"/>
  <c r="D9" i="46"/>
  <c r="D13" i="42"/>
  <c r="D30" i="42"/>
  <c r="H30" i="42" s="1"/>
  <c r="D16" i="41"/>
  <c r="D31" i="42"/>
  <c r="D49" i="42"/>
  <c r="D14" i="42"/>
  <c r="D52" i="42"/>
  <c r="D47" i="42"/>
  <c r="D46" i="42"/>
  <c r="D29" i="42"/>
  <c r="D12" i="42"/>
  <c r="D109" i="40"/>
  <c r="D94" i="40"/>
  <c r="D79" i="40"/>
  <c r="D65" i="40"/>
  <c r="D50" i="40"/>
  <c r="D36" i="40"/>
  <c r="D23" i="40"/>
  <c r="D11" i="40"/>
  <c r="D120" i="34"/>
  <c r="D87" i="34"/>
  <c r="D56" i="34"/>
  <c r="D29" i="34"/>
  <c r="D14" i="34"/>
  <c r="D38" i="40"/>
  <c r="D28" i="40"/>
  <c r="D13" i="35"/>
  <c r="D12" i="35"/>
  <c r="D8" i="35"/>
  <c r="D108" i="40"/>
  <c r="D107" i="40"/>
  <c r="D93" i="40"/>
  <c r="D92" i="40"/>
  <c r="D78" i="40"/>
  <c r="D77" i="40"/>
  <c r="D64" i="40"/>
  <c r="D63" i="40"/>
  <c r="D49" i="40"/>
  <c r="D48" i="40"/>
  <c r="D35" i="40"/>
  <c r="D34" i="40"/>
  <c r="D22" i="40"/>
  <c r="D21" i="40"/>
  <c r="D10" i="40"/>
  <c r="D9" i="40"/>
  <c r="F126" i="34"/>
  <c r="F127" i="34"/>
  <c r="G126" i="34"/>
  <c r="D126" i="34"/>
  <c r="E126" i="34" s="1"/>
  <c r="G93" i="34"/>
  <c r="F93" i="34"/>
  <c r="D93" i="34"/>
  <c r="E93" i="34" s="1"/>
  <c r="D62" i="34"/>
  <c r="E62" i="34" s="1"/>
  <c r="H62" i="34" s="1"/>
  <c r="D116" i="34"/>
  <c r="B67" i="34"/>
  <c r="D125" i="34"/>
  <c r="D92" i="34"/>
  <c r="B68" i="34"/>
  <c r="D61" i="34"/>
  <c r="D123" i="34"/>
  <c r="D90" i="34"/>
  <c r="D59" i="34"/>
  <c r="D118" i="34"/>
  <c r="D117" i="34"/>
  <c r="H13" i="42" l="1"/>
  <c r="H93" i="34"/>
  <c r="H126" i="34"/>
  <c r="F5" i="38" l="1"/>
  <c r="F6" i="38"/>
  <c r="F7" i="38"/>
  <c r="F8" i="38"/>
  <c r="F9" i="38"/>
  <c r="F10" i="38"/>
  <c r="F11" i="38"/>
  <c r="F12" i="38"/>
  <c r="F13" i="38"/>
  <c r="F14" i="38"/>
  <c r="F15" i="38"/>
  <c r="F16" i="38"/>
  <c r="F4" i="38"/>
  <c r="B7" i="14" l="1"/>
  <c r="D15" i="41" l="1"/>
  <c r="D14" i="41"/>
  <c r="D10" i="41"/>
  <c r="D11" i="35"/>
  <c r="D10" i="35"/>
  <c r="D9" i="35"/>
  <c r="D7" i="35"/>
  <c r="D6" i="35"/>
  <c r="D10" i="17" l="1"/>
  <c r="G138" i="34" l="1"/>
  <c r="F138" i="34"/>
  <c r="G103" i="34"/>
  <c r="F103" i="34"/>
  <c r="G72" i="34"/>
  <c r="F72" i="34"/>
  <c r="D73" i="34"/>
  <c r="F73" i="34"/>
  <c r="G73" i="34"/>
  <c r="E27" i="46"/>
  <c r="E26" i="46"/>
  <c r="E25" i="46"/>
  <c r="E24" i="46"/>
  <c r="E16" i="46"/>
  <c r="E15" i="46"/>
  <c r="E14" i="46"/>
  <c r="E42" i="42"/>
  <c r="E41" i="42"/>
  <c r="E40" i="42"/>
  <c r="E39" i="42"/>
  <c r="E25" i="42"/>
  <c r="E24" i="42"/>
  <c r="E23" i="42"/>
  <c r="E22" i="42"/>
  <c r="F135" i="34" l="1"/>
  <c r="G137" i="34"/>
  <c r="G136" i="34"/>
  <c r="F137" i="34"/>
  <c r="F136" i="34"/>
  <c r="F102" i="34"/>
  <c r="G102" i="34"/>
  <c r="G101" i="34"/>
  <c r="F101" i="34"/>
  <c r="C20" i="14" l="1"/>
  <c r="C10" i="14"/>
  <c r="C15" i="14"/>
  <c r="B13" i="14"/>
  <c r="B9" i="50"/>
  <c r="B8" i="50"/>
  <c r="B7" i="50"/>
  <c r="B6" i="50"/>
  <c r="E9" i="50"/>
  <c r="E8" i="50"/>
  <c r="E7" i="50"/>
  <c r="E6" i="50"/>
  <c r="B27" i="46"/>
  <c r="B26" i="46"/>
  <c r="B25" i="46"/>
  <c r="B24" i="46"/>
  <c r="B16" i="46"/>
  <c r="B15" i="46"/>
  <c r="B14" i="46"/>
  <c r="B7" i="46"/>
  <c r="B6" i="46"/>
  <c r="E6" i="46"/>
  <c r="E7" i="46"/>
  <c r="E5" i="46"/>
  <c r="B5" i="46"/>
  <c r="B42" i="42"/>
  <c r="B41" i="42"/>
  <c r="B40" i="42"/>
  <c r="B39" i="42"/>
  <c r="B25" i="42"/>
  <c r="B24" i="42"/>
  <c r="B23" i="42"/>
  <c r="B22" i="42"/>
  <c r="B8" i="42"/>
  <c r="B7" i="42"/>
  <c r="B6" i="42"/>
  <c r="E6" i="42"/>
  <c r="E7" i="42"/>
  <c r="E8" i="42"/>
  <c r="E5" i="42"/>
  <c r="B5" i="42"/>
  <c r="G46" i="42"/>
  <c r="F46" i="42"/>
  <c r="G43" i="42"/>
  <c r="F43" i="42"/>
  <c r="B104" i="40"/>
  <c r="B103" i="40"/>
  <c r="B102" i="40"/>
  <c r="B101" i="40"/>
  <c r="B89" i="40"/>
  <c r="B88" i="40"/>
  <c r="B87" i="40"/>
  <c r="B86" i="40"/>
  <c r="B75" i="40"/>
  <c r="B74" i="40"/>
  <c r="B73" i="40"/>
  <c r="B72" i="40"/>
  <c r="B60" i="40"/>
  <c r="B59" i="40"/>
  <c r="B58" i="40"/>
  <c r="B57" i="40"/>
  <c r="B46" i="40"/>
  <c r="B45" i="40"/>
  <c r="B44" i="40"/>
  <c r="B43" i="40"/>
  <c r="B31" i="40"/>
  <c r="B30" i="40"/>
  <c r="B29" i="40"/>
  <c r="B19" i="40"/>
  <c r="B18" i="40"/>
  <c r="B17" i="40"/>
  <c r="B7" i="40"/>
  <c r="B6" i="40"/>
  <c r="B5" i="40" l="1"/>
  <c r="F139" i="34"/>
  <c r="F125" i="34"/>
  <c r="F124" i="34"/>
  <c r="F123" i="34"/>
  <c r="F122" i="34"/>
  <c r="F121" i="34"/>
  <c r="F120" i="34"/>
  <c r="F119" i="34"/>
  <c r="F118" i="34"/>
  <c r="F117" i="34"/>
  <c r="F115" i="34"/>
  <c r="F109" i="34"/>
  <c r="F104" i="34"/>
  <c r="F100" i="34"/>
  <c r="F94" i="34"/>
  <c r="F91" i="34"/>
  <c r="F90" i="34"/>
  <c r="F89" i="34"/>
  <c r="F87" i="34"/>
  <c r="F86" i="34"/>
  <c r="F85" i="34"/>
  <c r="F84" i="34"/>
  <c r="F82" i="34"/>
  <c r="F81" i="34"/>
  <c r="F57" i="34"/>
  <c r="F50" i="34"/>
  <c r="F24" i="34"/>
  <c r="F25" i="34"/>
  <c r="F26" i="34"/>
  <c r="F27" i="34"/>
  <c r="F28" i="34"/>
  <c r="F29" i="34"/>
  <c r="F30" i="34"/>
  <c r="F31" i="34"/>
  <c r="F23" i="34"/>
  <c r="B134" i="34" l="1"/>
  <c r="B133" i="34"/>
  <c r="B132" i="34"/>
  <c r="G135" i="34"/>
  <c r="B113" i="34"/>
  <c r="B112" i="34"/>
  <c r="B111" i="34"/>
  <c r="B110" i="34"/>
  <c r="B99" i="34"/>
  <c r="B98" i="34"/>
  <c r="B78" i="34"/>
  <c r="B80" i="34"/>
  <c r="B79" i="34"/>
  <c r="B49" i="34"/>
  <c r="B48" i="34"/>
  <c r="B47" i="34"/>
  <c r="B46" i="34"/>
  <c r="B36" i="34"/>
  <c r="G17" i="52"/>
  <c r="B35" i="34"/>
  <c r="B22" i="34"/>
  <c r="B21" i="34"/>
  <c r="B20" i="34"/>
  <c r="B7" i="34"/>
  <c r="B6" i="34"/>
  <c r="B5" i="34"/>
  <c r="G6" i="52" l="1"/>
  <c r="G7" i="52"/>
  <c r="G8" i="52"/>
  <c r="G9" i="52"/>
  <c r="G10" i="52"/>
  <c r="G11" i="52"/>
  <c r="G12" i="52"/>
  <c r="G16" i="52"/>
  <c r="G18" i="52"/>
  <c r="G19" i="52"/>
  <c r="G20" i="52"/>
  <c r="G22" i="52"/>
  <c r="G23" i="52"/>
  <c r="G24" i="52"/>
  <c r="G5" i="52"/>
  <c r="G18" i="46" l="1"/>
  <c r="G17" i="46"/>
  <c r="F18" i="46"/>
  <c r="F17" i="46"/>
  <c r="G27" i="42"/>
  <c r="G28" i="42"/>
  <c r="G29" i="42"/>
  <c r="G31" i="42"/>
  <c r="G32" i="42"/>
  <c r="G33" i="42"/>
  <c r="G26" i="42"/>
  <c r="F27" i="42"/>
  <c r="F28" i="42"/>
  <c r="F29" i="42"/>
  <c r="F31" i="42"/>
  <c r="F32" i="42"/>
  <c r="F33" i="42"/>
  <c r="F26" i="42"/>
  <c r="G111" i="40"/>
  <c r="G110" i="40"/>
  <c r="F110" i="40"/>
  <c r="F95" i="40"/>
  <c r="G107" i="40"/>
  <c r="G108" i="40"/>
  <c r="G109" i="40"/>
  <c r="G106" i="40"/>
  <c r="G105" i="40"/>
  <c r="F111" i="40"/>
  <c r="F109" i="40"/>
  <c r="F108" i="40"/>
  <c r="F107" i="40"/>
  <c r="F106" i="40"/>
  <c r="F105" i="40"/>
  <c r="G96" i="40"/>
  <c r="F96" i="40"/>
  <c r="G92" i="40"/>
  <c r="G93" i="40"/>
  <c r="G94" i="40"/>
  <c r="G91" i="40"/>
  <c r="F94" i="40"/>
  <c r="F93" i="40"/>
  <c r="F92" i="40"/>
  <c r="F91" i="40"/>
  <c r="G90" i="40"/>
  <c r="F90" i="40"/>
  <c r="G81" i="40"/>
  <c r="G77" i="40"/>
  <c r="G78" i="40"/>
  <c r="G79" i="40"/>
  <c r="G76" i="40"/>
  <c r="F81" i="40"/>
  <c r="F79" i="40"/>
  <c r="F78" i="40"/>
  <c r="F77" i="40"/>
  <c r="F76" i="40"/>
  <c r="G95" i="40"/>
  <c r="G67" i="40"/>
  <c r="G66" i="40"/>
  <c r="F67" i="40"/>
  <c r="F66" i="40"/>
  <c r="G63" i="40"/>
  <c r="G64" i="40"/>
  <c r="G65" i="40"/>
  <c r="G62" i="40"/>
  <c r="F63" i="40"/>
  <c r="F64" i="40"/>
  <c r="F65" i="40"/>
  <c r="F62" i="40"/>
  <c r="G52" i="40"/>
  <c r="G51" i="40"/>
  <c r="F52" i="40"/>
  <c r="F51" i="40"/>
  <c r="G34" i="40"/>
  <c r="G35" i="40"/>
  <c r="G36" i="40"/>
  <c r="G37" i="40"/>
  <c r="G38" i="40"/>
  <c r="G33" i="40"/>
  <c r="F34" i="40"/>
  <c r="F35" i="40"/>
  <c r="F36" i="40"/>
  <c r="F37" i="40"/>
  <c r="F38" i="40"/>
  <c r="F33" i="40"/>
  <c r="G21" i="40"/>
  <c r="G22" i="40"/>
  <c r="G23" i="40"/>
  <c r="G24" i="40"/>
  <c r="G25" i="40"/>
  <c r="G20" i="40"/>
  <c r="F21" i="40"/>
  <c r="F22" i="40"/>
  <c r="F23" i="40"/>
  <c r="F24" i="40"/>
  <c r="F25" i="40"/>
  <c r="F20" i="40"/>
  <c r="G139" i="34"/>
  <c r="G127" i="34"/>
  <c r="G125" i="34"/>
  <c r="G124" i="34"/>
  <c r="G123" i="34"/>
  <c r="G122" i="34"/>
  <c r="G121" i="34"/>
  <c r="G118" i="34"/>
  <c r="G119" i="34"/>
  <c r="G120" i="34"/>
  <c r="G117" i="34"/>
  <c r="G115" i="34"/>
  <c r="G109" i="34"/>
  <c r="G104" i="34"/>
  <c r="G100" i="34"/>
  <c r="G94" i="34"/>
  <c r="G90" i="34"/>
  <c r="G91" i="34"/>
  <c r="G89" i="34"/>
  <c r="G85" i="34"/>
  <c r="G86" i="34"/>
  <c r="G87" i="34"/>
  <c r="G84" i="34"/>
  <c r="G50" i="34"/>
  <c r="G81" i="34" s="1"/>
  <c r="G82" i="34"/>
  <c r="G57" i="34"/>
  <c r="G24" i="34"/>
  <c r="G25" i="34"/>
  <c r="G26" i="34"/>
  <c r="G27" i="34"/>
  <c r="G28" i="34"/>
  <c r="G29" i="34"/>
  <c r="G30" i="34"/>
  <c r="G31" i="34"/>
  <c r="G23" i="34"/>
  <c r="D15" i="43"/>
  <c r="D16" i="43"/>
  <c r="D14" i="43"/>
  <c r="D10" i="43"/>
  <c r="D6" i="43"/>
  <c r="D5" i="43"/>
  <c r="B18" i="14" l="1"/>
  <c r="B6" i="14"/>
  <c r="C4" i="49"/>
  <c r="F60" i="47"/>
  <c r="G16" i="35" s="1"/>
  <c r="C10" i="17"/>
  <c r="C8" i="17"/>
  <c r="C6" i="17"/>
  <c r="C5" i="17"/>
  <c r="C7" i="17"/>
  <c r="C9" i="17"/>
  <c r="C11" i="17"/>
  <c r="C4" i="17"/>
  <c r="A58" i="47" l="1"/>
  <c r="A57" i="47"/>
  <c r="A56" i="47"/>
  <c r="A55" i="47"/>
  <c r="A54" i="47"/>
  <c r="A53" i="47"/>
  <c r="C16" i="43"/>
  <c r="C15" i="43"/>
  <c r="C14" i="43"/>
  <c r="C10" i="43"/>
  <c r="C6" i="43"/>
  <c r="C5" i="43"/>
  <c r="C16" i="41" l="1"/>
  <c r="C15" i="41"/>
  <c r="C14" i="41"/>
  <c r="C10" i="41"/>
  <c r="C6" i="41"/>
  <c r="C5" i="41"/>
  <c r="F36" i="47" l="1"/>
  <c r="F37" i="47"/>
  <c r="F38" i="47"/>
  <c r="F39" i="47"/>
  <c r="F40" i="47"/>
  <c r="G67" i="34" s="1"/>
  <c r="F41" i="47"/>
  <c r="F42" i="47"/>
  <c r="F43" i="47"/>
  <c r="G110" i="34" s="1"/>
  <c r="F44" i="47"/>
  <c r="F45" i="47"/>
  <c r="F46" i="47"/>
  <c r="F47" i="47"/>
  <c r="F48" i="47"/>
  <c r="F49" i="47"/>
  <c r="F50" i="47"/>
  <c r="F51" i="47"/>
  <c r="F53" i="47"/>
  <c r="F54" i="47"/>
  <c r="F55" i="47"/>
  <c r="F56" i="47"/>
  <c r="F57" i="47"/>
  <c r="F58" i="47"/>
  <c r="F59" i="47"/>
  <c r="G4" i="49" s="1"/>
  <c r="A59" i="47"/>
  <c r="A46" i="47"/>
  <c r="A47" i="47"/>
  <c r="A48" i="47"/>
  <c r="A49" i="47"/>
  <c r="A50" i="47"/>
  <c r="A51" i="47"/>
  <c r="A45" i="47"/>
  <c r="A37" i="47"/>
  <c r="A38" i="47"/>
  <c r="A39" i="47"/>
  <c r="A40" i="47"/>
  <c r="A41" i="47"/>
  <c r="A42" i="47"/>
  <c r="A43" i="47"/>
  <c r="A44" i="47"/>
  <c r="A36" i="47"/>
  <c r="D5" i="50"/>
  <c r="E5" i="50" s="1"/>
  <c r="G5" i="50" s="1"/>
  <c r="D4" i="50"/>
  <c r="H15" i="50"/>
  <c r="F6" i="50" l="1"/>
  <c r="G6" i="50" s="1"/>
  <c r="F8" i="50"/>
  <c r="G8" i="50" s="1"/>
  <c r="F9" i="50"/>
  <c r="G9" i="50" s="1"/>
  <c r="F7" i="50"/>
  <c r="G7" i="50" s="1"/>
  <c r="G16" i="43"/>
  <c r="G26" i="46"/>
  <c r="H26" i="46" s="1"/>
  <c r="G25" i="46"/>
  <c r="H25" i="46" s="1"/>
  <c r="G24" i="46"/>
  <c r="H24" i="46" s="1"/>
  <c r="G27" i="46"/>
  <c r="H27" i="46" s="1"/>
  <c r="G15" i="46"/>
  <c r="H15" i="46" s="1"/>
  <c r="G14" i="46"/>
  <c r="H14" i="46" s="1"/>
  <c r="G16" i="46"/>
  <c r="H16" i="46" s="1"/>
  <c r="G14" i="43"/>
  <c r="G5" i="46"/>
  <c r="H5" i="46" s="1"/>
  <c r="G7" i="46"/>
  <c r="H7" i="46" s="1"/>
  <c r="G6" i="46"/>
  <c r="H6" i="46" s="1"/>
  <c r="G5" i="17"/>
  <c r="G17" i="40"/>
  <c r="G18" i="40"/>
  <c r="G19" i="40"/>
  <c r="G4" i="17"/>
  <c r="G7" i="40"/>
  <c r="G6" i="40"/>
  <c r="G5" i="40"/>
  <c r="G13" i="35" a="1"/>
  <c r="G13" i="35" s="1"/>
  <c r="G134" i="34"/>
  <c r="G133" i="34"/>
  <c r="G132" i="34"/>
  <c r="G12" i="35" a="1"/>
  <c r="G12" i="35" s="1"/>
  <c r="G113" i="34"/>
  <c r="G111" i="34"/>
  <c r="G112" i="34"/>
  <c r="G11" i="35" a="1"/>
  <c r="G11" i="35" s="1"/>
  <c r="G99" i="34"/>
  <c r="G98" i="34"/>
  <c r="G9" i="17"/>
  <c r="G74" i="40"/>
  <c r="G73" i="40"/>
  <c r="G72" i="40"/>
  <c r="G75" i="40"/>
  <c r="G7" i="17"/>
  <c r="G45" i="40"/>
  <c r="G44" i="40"/>
  <c r="G43" i="40"/>
  <c r="G46" i="40"/>
  <c r="G6" i="17"/>
  <c r="G29" i="40"/>
  <c r="G31" i="40"/>
  <c r="G30" i="40"/>
  <c r="G41" i="42"/>
  <c r="H41" i="42" s="1"/>
  <c r="G40" i="42"/>
  <c r="H40" i="42" s="1"/>
  <c r="G39" i="42"/>
  <c r="H39" i="42" s="1"/>
  <c r="G42" i="42"/>
  <c r="H42" i="42" s="1"/>
  <c r="G22" i="42"/>
  <c r="H22" i="42" s="1"/>
  <c r="G25" i="42"/>
  <c r="H25" i="42" s="1"/>
  <c r="G24" i="42"/>
  <c r="H24" i="42" s="1"/>
  <c r="G23" i="42"/>
  <c r="H23" i="42" s="1"/>
  <c r="G10" i="17"/>
  <c r="G102" i="40"/>
  <c r="G101" i="40"/>
  <c r="G89" i="40"/>
  <c r="G104" i="40"/>
  <c r="G88" i="40"/>
  <c r="G87" i="40"/>
  <c r="G103" i="40"/>
  <c r="G86" i="40"/>
  <c r="G8" i="17"/>
  <c r="G57" i="40"/>
  <c r="G60" i="40"/>
  <c r="G59" i="40"/>
  <c r="G58" i="40"/>
  <c r="G5" i="42"/>
  <c r="H5" i="42" s="1"/>
  <c r="G7" i="42"/>
  <c r="H7" i="42" s="1"/>
  <c r="G8" i="42"/>
  <c r="H8" i="42" s="1"/>
  <c r="G6" i="42"/>
  <c r="H6" i="42" s="1"/>
  <c r="G79" i="34"/>
  <c r="G80" i="34"/>
  <c r="G78" i="34"/>
  <c r="G68" i="34"/>
  <c r="G47" i="34"/>
  <c r="G49" i="34"/>
  <c r="G48" i="34"/>
  <c r="G46" i="34"/>
  <c r="G36" i="34"/>
  <c r="G35" i="34"/>
  <c r="G21" i="34"/>
  <c r="G20" i="34"/>
  <c r="G22" i="34"/>
  <c r="G7" i="34"/>
  <c r="G6" i="34"/>
  <c r="G5" i="34"/>
  <c r="G10" i="41"/>
  <c r="G15" i="41"/>
  <c r="G15" i="43"/>
  <c r="G10" i="43"/>
  <c r="G16" i="41"/>
  <c r="G6" i="41"/>
  <c r="G5" i="41"/>
  <c r="G14" i="41"/>
  <c r="G10" i="35" a="1"/>
  <c r="G10" i="35" s="1"/>
  <c r="G7" i="35" a="1"/>
  <c r="G7" i="35" s="1"/>
  <c r="G8" i="35" a="1"/>
  <c r="G8" i="35" s="1"/>
  <c r="G9" i="35" a="1"/>
  <c r="G9" i="35" s="1"/>
  <c r="G5" i="35" a="1"/>
  <c r="G5" i="35" s="1"/>
  <c r="G6" i="35" a="1"/>
  <c r="G6" i="35" s="1"/>
  <c r="D14" i="50"/>
  <c r="D10" i="50"/>
  <c r="D13" i="50"/>
  <c r="E13" i="50" s="1"/>
  <c r="G13" i="50" s="1"/>
  <c r="I56" i="42"/>
  <c r="I55" i="42"/>
  <c r="I35" i="42"/>
  <c r="I34" i="42"/>
  <c r="I18" i="42"/>
  <c r="I17" i="42"/>
  <c r="I32" i="46"/>
  <c r="I31" i="46"/>
  <c r="I20" i="46"/>
  <c r="I19" i="46"/>
  <c r="I11" i="46"/>
  <c r="I10" i="46"/>
  <c r="E14" i="50" l="1"/>
  <c r="G14" i="50" s="1"/>
  <c r="E12" i="50"/>
  <c r="G12" i="50" s="1"/>
  <c r="E10" i="50"/>
  <c r="G10" i="50" s="1"/>
  <c r="E4" i="50"/>
  <c r="G4" i="50" s="1"/>
  <c r="E11" i="50"/>
  <c r="G11" i="50" s="1"/>
  <c r="G15" i="50" l="1"/>
  <c r="I4" i="49" s="1"/>
  <c r="F4" i="49" s="1"/>
  <c r="H4" i="49" l="1"/>
  <c r="H7" i="49" s="1"/>
  <c r="C4" i="51" s="1"/>
  <c r="C6" i="51" s="1"/>
  <c r="D5" i="48" s="1"/>
  <c r="E4" i="49"/>
  <c r="I15" i="50"/>
  <c r="I18" i="50" s="1"/>
  <c r="I6" i="49" s="1"/>
  <c r="D80" i="40" l="1"/>
  <c r="D27" i="42" l="1"/>
  <c r="D26" i="42"/>
  <c r="D82" i="34"/>
  <c r="D81" i="34"/>
  <c r="D51" i="34"/>
  <c r="D50" i="34"/>
  <c r="D24" i="34"/>
  <c r="D23" i="34"/>
  <c r="D9" i="34"/>
  <c r="D8" i="34"/>
  <c r="D110" i="40" l="1"/>
  <c r="D95" i="40"/>
  <c r="D66" i="40"/>
  <c r="D51" i="40"/>
  <c r="D37" i="40"/>
  <c r="D24" i="40"/>
  <c r="D12" i="40"/>
  <c r="D32" i="42" l="1"/>
  <c r="D15" i="42"/>
  <c r="D33" i="42"/>
  <c r="D50" i="42"/>
  <c r="D51" i="42"/>
  <c r="D16" i="42"/>
  <c r="D121" i="34"/>
  <c r="D88" i="34"/>
  <c r="D57" i="34"/>
  <c r="D30" i="34"/>
  <c r="D15" i="34"/>
  <c r="D96" i="40"/>
  <c r="D67" i="40"/>
  <c r="D13" i="40"/>
  <c r="A85" i="40" l="1"/>
  <c r="A29" i="40"/>
  <c r="D111" i="40"/>
  <c r="D81" i="40"/>
  <c r="D52" i="40"/>
  <c r="D25" i="40"/>
  <c r="D139" i="34"/>
  <c r="D122" i="34"/>
  <c r="D89" i="34"/>
  <c r="E31" i="40" l="1"/>
  <c r="E30" i="40"/>
  <c r="E29" i="40"/>
  <c r="E87" i="40"/>
  <c r="E89" i="40"/>
  <c r="E86" i="40"/>
  <c r="E88" i="40"/>
  <c r="E95" i="40"/>
  <c r="H95" i="40" s="1"/>
  <c r="E94" i="40"/>
  <c r="H94" i="40" s="1"/>
  <c r="D32" i="40"/>
  <c r="E32" i="40" s="1"/>
  <c r="H32" i="40" s="1"/>
  <c r="D33" i="40"/>
  <c r="D90" i="40"/>
  <c r="E90" i="40" s="1"/>
  <c r="H90" i="40" s="1"/>
  <c r="D85" i="40"/>
  <c r="E85" i="40" s="1"/>
  <c r="H85" i="40" s="1"/>
  <c r="D84" i="40"/>
  <c r="E84" i="40" s="1"/>
  <c r="H84" i="40" s="1"/>
  <c r="E96" i="40"/>
  <c r="H96" i="40" s="1"/>
  <c r="E36" i="40"/>
  <c r="H36" i="40" s="1"/>
  <c r="E37" i="40"/>
  <c r="H37" i="40" s="1"/>
  <c r="E38" i="40"/>
  <c r="H38" i="40" s="1"/>
  <c r="D58" i="34" l="1"/>
  <c r="D31" i="34"/>
  <c r="D16" i="34"/>
  <c r="D41" i="34"/>
  <c r="E18" i="46" l="1"/>
  <c r="H18" i="46" s="1"/>
  <c r="E9" i="46"/>
  <c r="H9" i="46" s="1"/>
  <c r="D6" i="48"/>
  <c r="I74" i="34"/>
  <c r="C22" i="14" l="1"/>
  <c r="E30" i="46"/>
  <c r="H30" i="46" s="1"/>
  <c r="E29" i="46"/>
  <c r="H29" i="46" s="1"/>
  <c r="D23" i="46"/>
  <c r="E23" i="46" s="1"/>
  <c r="H23" i="46" s="1"/>
  <c r="D22" i="46"/>
  <c r="E22" i="46" s="1"/>
  <c r="H22" i="46" s="1"/>
  <c r="D28" i="46"/>
  <c r="E28" i="46" s="1"/>
  <c r="H28" i="46" s="1"/>
  <c r="D13" i="46"/>
  <c r="E13" i="46" s="1"/>
  <c r="H13" i="46" s="1"/>
  <c r="D17" i="46"/>
  <c r="E17" i="46" s="1"/>
  <c r="H17" i="46" s="1"/>
  <c r="D4" i="46"/>
  <c r="E4" i="46" s="1"/>
  <c r="H4" i="46" s="1"/>
  <c r="D8" i="46"/>
  <c r="E8" i="46" s="1"/>
  <c r="H8" i="46" s="1"/>
  <c r="H19" i="46" l="1"/>
  <c r="H10" i="46"/>
  <c r="H31" i="46"/>
  <c r="H11" i="46"/>
  <c r="H20" i="46"/>
  <c r="H32" i="46"/>
  <c r="J32" i="46" l="1"/>
  <c r="I16" i="43"/>
  <c r="F16" i="43" s="1"/>
  <c r="J31" i="46"/>
  <c r="I6" i="43"/>
  <c r="F6" i="43" s="1"/>
  <c r="J20" i="46"/>
  <c r="I15" i="43"/>
  <c r="F15" i="43" s="1"/>
  <c r="J19" i="46"/>
  <c r="I11" i="43" s="1"/>
  <c r="I10" i="43"/>
  <c r="F10" i="43" s="1"/>
  <c r="J10" i="46"/>
  <c r="I5" i="43"/>
  <c r="F5" i="43" s="1"/>
  <c r="J11" i="46"/>
  <c r="I14" i="43"/>
  <c r="F14" i="43" s="1"/>
  <c r="E46" i="42"/>
  <c r="H46" i="42" s="1"/>
  <c r="D48" i="42"/>
  <c r="H48" i="42" s="1"/>
  <c r="D38" i="42"/>
  <c r="E38" i="42" s="1"/>
  <c r="H38" i="42" s="1"/>
  <c r="D37" i="42"/>
  <c r="E51" i="42"/>
  <c r="H51" i="42" s="1"/>
  <c r="D54" i="42"/>
  <c r="E54" i="42" s="1"/>
  <c r="H54" i="42" s="1"/>
  <c r="D53" i="42"/>
  <c r="E53" i="42" s="1"/>
  <c r="H53" i="42" s="1"/>
  <c r="D45" i="42"/>
  <c r="I17" i="43" l="1"/>
  <c r="I7" i="43"/>
  <c r="E6" i="43"/>
  <c r="H6" i="43"/>
  <c r="E16" i="43"/>
  <c r="H16" i="43"/>
  <c r="E10" i="43"/>
  <c r="H10" i="43"/>
  <c r="H12" i="43" s="1"/>
  <c r="C12" i="45" s="1"/>
  <c r="E15" i="43"/>
  <c r="H15" i="43"/>
  <c r="J34" i="46"/>
  <c r="E5" i="43"/>
  <c r="H5" i="43"/>
  <c r="E14" i="43"/>
  <c r="H14" i="43"/>
  <c r="A5" i="40"/>
  <c r="A100" i="40"/>
  <c r="A71" i="40"/>
  <c r="A42" i="40"/>
  <c r="A17" i="40"/>
  <c r="E47" i="42"/>
  <c r="H47" i="42" s="1"/>
  <c r="D20" i="42"/>
  <c r="A56" i="40"/>
  <c r="D6" i="17"/>
  <c r="D8" i="17"/>
  <c r="D11" i="17"/>
  <c r="D4" i="17"/>
  <c r="H8" i="43" l="1"/>
  <c r="C5" i="45" s="1"/>
  <c r="H18" i="43"/>
  <c r="C19" i="45" s="1"/>
  <c r="D16" i="40"/>
  <c r="E16" i="40" s="1"/>
  <c r="E18" i="40"/>
  <c r="H18" i="40" s="1"/>
  <c r="E17" i="40"/>
  <c r="H17" i="40" s="1"/>
  <c r="E19" i="40"/>
  <c r="H19" i="40" s="1"/>
  <c r="E103" i="40"/>
  <c r="H103" i="40" s="1"/>
  <c r="E104" i="40"/>
  <c r="H104" i="40" s="1"/>
  <c r="E102" i="40"/>
  <c r="H102" i="40" s="1"/>
  <c r="E101" i="40"/>
  <c r="H101" i="40" s="1"/>
  <c r="D61" i="40"/>
  <c r="E60" i="40"/>
  <c r="H60" i="40" s="1"/>
  <c r="E58" i="40"/>
  <c r="H58" i="40" s="1"/>
  <c r="E59" i="40"/>
  <c r="H59" i="40" s="1"/>
  <c r="E57" i="40"/>
  <c r="H57" i="40" s="1"/>
  <c r="E46" i="40"/>
  <c r="H46" i="40" s="1"/>
  <c r="E43" i="40"/>
  <c r="H43" i="40" s="1"/>
  <c r="E44" i="40"/>
  <c r="H44" i="40" s="1"/>
  <c r="E45" i="40"/>
  <c r="H45" i="40" s="1"/>
  <c r="E75" i="40"/>
  <c r="H75" i="40" s="1"/>
  <c r="E72" i="40"/>
  <c r="H72" i="40" s="1"/>
  <c r="E74" i="40"/>
  <c r="H74" i="40" s="1"/>
  <c r="E73" i="40"/>
  <c r="H73" i="40" s="1"/>
  <c r="H88" i="40"/>
  <c r="H87" i="40"/>
  <c r="H89" i="40"/>
  <c r="H86" i="40"/>
  <c r="H31" i="40"/>
  <c r="H30" i="40"/>
  <c r="H29" i="40"/>
  <c r="E7" i="40"/>
  <c r="H7" i="40" s="1"/>
  <c r="E6" i="40"/>
  <c r="H6" i="40" s="1"/>
  <c r="E5" i="40"/>
  <c r="H5" i="40" s="1"/>
  <c r="D105" i="40"/>
  <c r="E105" i="40" s="1"/>
  <c r="H105" i="40" s="1"/>
  <c r="D106" i="40"/>
  <c r="E106" i="40" s="1"/>
  <c r="H106" i="40" s="1"/>
  <c r="E80" i="40"/>
  <c r="H80" i="40" s="1"/>
  <c r="D7" i="17"/>
  <c r="D9" i="17"/>
  <c r="D5" i="17"/>
  <c r="E20" i="42"/>
  <c r="H20" i="42" s="1"/>
  <c r="D21" i="42"/>
  <c r="E21" i="42" s="1"/>
  <c r="H21" i="42" s="1"/>
  <c r="D4" i="42"/>
  <c r="E4" i="42" s="1"/>
  <c r="H4" i="42" s="1"/>
  <c r="D3" i="42"/>
  <c r="E3" i="42" s="1"/>
  <c r="H3" i="42" s="1"/>
  <c r="E32" i="42"/>
  <c r="H32" i="42" s="1"/>
  <c r="D55" i="40"/>
  <c r="D56" i="40"/>
  <c r="D62" i="40"/>
  <c r="I39" i="40"/>
  <c r="I68" i="40"/>
  <c r="I112" i="40"/>
  <c r="I97" i="40"/>
  <c r="D91" i="40"/>
  <c r="E65" i="40"/>
  <c r="H65" i="40" s="1"/>
  <c r="E66" i="40"/>
  <c r="H66" i="40" s="1"/>
  <c r="E67" i="40"/>
  <c r="H67" i="40" s="1"/>
  <c r="E107" i="40"/>
  <c r="H107" i="40" s="1"/>
  <c r="E78" i="40"/>
  <c r="H78" i="40" s="1"/>
  <c r="E77" i="40"/>
  <c r="H77" i="40" s="1"/>
  <c r="E49" i="40"/>
  <c r="H49" i="40" s="1"/>
  <c r="E48" i="40"/>
  <c r="H48" i="40" s="1"/>
  <c r="E22" i="40"/>
  <c r="E21" i="40"/>
  <c r="E9" i="40"/>
  <c r="E10" i="40"/>
  <c r="D4" i="40"/>
  <c r="E4" i="40" s="1"/>
  <c r="I14" i="40"/>
  <c r="E29" i="42"/>
  <c r="H29" i="42" s="1"/>
  <c r="D28" i="42"/>
  <c r="E28" i="42" s="1"/>
  <c r="H28" i="42" s="1"/>
  <c r="E33" i="42"/>
  <c r="H33" i="42" s="1"/>
  <c r="D11" i="42"/>
  <c r="E11" i="42" s="1"/>
  <c r="H11" i="42" s="1"/>
  <c r="E12" i="42"/>
  <c r="H12" i="42" s="1"/>
  <c r="E10" i="42"/>
  <c r="H10" i="42" s="1"/>
  <c r="E14" i="42"/>
  <c r="H14" i="42" s="1"/>
  <c r="E16" i="42"/>
  <c r="H16" i="42" s="1"/>
  <c r="E9" i="42"/>
  <c r="H9" i="42" s="1"/>
  <c r="E26" i="42"/>
  <c r="H26" i="42" s="1"/>
  <c r="D100" i="40"/>
  <c r="E100" i="40" s="1"/>
  <c r="H100" i="40" s="1"/>
  <c r="D99" i="40"/>
  <c r="E99" i="40" s="1"/>
  <c r="H99" i="40" s="1"/>
  <c r="D76" i="40"/>
  <c r="E76" i="40" s="1"/>
  <c r="H76" i="40" s="1"/>
  <c r="D71" i="40"/>
  <c r="E71" i="40" s="1"/>
  <c r="H71" i="40" s="1"/>
  <c r="D70" i="40"/>
  <c r="E70" i="40" s="1"/>
  <c r="H70" i="40" s="1"/>
  <c r="D47" i="40"/>
  <c r="E47" i="40" s="1"/>
  <c r="H47" i="40" s="1"/>
  <c r="D20" i="40"/>
  <c r="D42" i="40"/>
  <c r="E42" i="40" s="1"/>
  <c r="H42" i="40" s="1"/>
  <c r="D41" i="40"/>
  <c r="E41" i="40" s="1"/>
  <c r="H41" i="40" s="1"/>
  <c r="D8" i="40"/>
  <c r="E8" i="40" s="1"/>
  <c r="E13" i="40"/>
  <c r="E11" i="40"/>
  <c r="E12" i="40"/>
  <c r="E51" i="40"/>
  <c r="H51" i="40" s="1"/>
  <c r="E23" i="40"/>
  <c r="E24" i="40"/>
  <c r="E108" i="40"/>
  <c r="H108" i="40" s="1"/>
  <c r="E109" i="40"/>
  <c r="H109" i="40" s="1"/>
  <c r="E25" i="40"/>
  <c r="E81" i="40"/>
  <c r="H81" i="40" s="1"/>
  <c r="E110" i="40"/>
  <c r="H110" i="40" s="1"/>
  <c r="E111" i="40"/>
  <c r="H111" i="40" s="1"/>
  <c r="E50" i="40"/>
  <c r="H50" i="40" s="1"/>
  <c r="E27" i="42"/>
  <c r="H27" i="42" s="1"/>
  <c r="E31" i="42"/>
  <c r="H31" i="42" s="1"/>
  <c r="E15" i="42"/>
  <c r="H15" i="42" s="1"/>
  <c r="E43" i="42"/>
  <c r="H43" i="42" s="1"/>
  <c r="E45" i="42"/>
  <c r="H45" i="42" s="1"/>
  <c r="E49" i="42"/>
  <c r="H49" i="42" s="1"/>
  <c r="E50" i="42"/>
  <c r="H50" i="42" s="1"/>
  <c r="E44" i="42"/>
  <c r="H44" i="42" s="1"/>
  <c r="E52" i="42"/>
  <c r="H52" i="42" s="1"/>
  <c r="E37" i="42"/>
  <c r="H37" i="42" s="1"/>
  <c r="E52" i="40"/>
  <c r="H52" i="40" s="1"/>
  <c r="E79" i="40"/>
  <c r="H79" i="40" s="1"/>
  <c r="H17" i="42" l="1"/>
  <c r="I5" i="41" s="1"/>
  <c r="H25" i="40"/>
  <c r="H13" i="40"/>
  <c r="H16" i="40"/>
  <c r="H4" i="40"/>
  <c r="H24" i="40"/>
  <c r="H12" i="40"/>
  <c r="H11" i="40"/>
  <c r="H23" i="40"/>
  <c r="H22" i="40"/>
  <c r="H10" i="40"/>
  <c r="H8" i="40"/>
  <c r="H20" i="40"/>
  <c r="H21" i="40"/>
  <c r="H9" i="40"/>
  <c r="H18" i="42"/>
  <c r="I14" i="41" s="1"/>
  <c r="H35" i="42"/>
  <c r="H56" i="42"/>
  <c r="H55" i="42"/>
  <c r="E20" i="40"/>
  <c r="I82" i="40"/>
  <c r="I26" i="40"/>
  <c r="I53" i="40"/>
  <c r="H112" i="40"/>
  <c r="E91" i="40"/>
  <c r="H91" i="40" s="1"/>
  <c r="E93" i="40"/>
  <c r="H93" i="40" s="1"/>
  <c r="E92" i="40"/>
  <c r="H92" i="40" s="1"/>
  <c r="H82" i="40"/>
  <c r="I9" i="17" s="1"/>
  <c r="F9" i="17" s="1"/>
  <c r="E62" i="40"/>
  <c r="H62" i="40" s="1"/>
  <c r="E64" i="40"/>
  <c r="H64" i="40" s="1"/>
  <c r="E63" i="40"/>
  <c r="H63" i="40" s="1"/>
  <c r="E55" i="40"/>
  <c r="H55" i="40" s="1"/>
  <c r="E56" i="40"/>
  <c r="H56" i="40" s="1"/>
  <c r="E61" i="40"/>
  <c r="H61" i="40" s="1"/>
  <c r="H53" i="40"/>
  <c r="I7" i="17" s="1"/>
  <c r="F7" i="17" s="1"/>
  <c r="E35" i="40"/>
  <c r="H35" i="40" s="1"/>
  <c r="E33" i="40"/>
  <c r="H33" i="40" s="1"/>
  <c r="E34" i="40"/>
  <c r="H34" i="40" s="1"/>
  <c r="E28" i="40"/>
  <c r="H28" i="40" s="1"/>
  <c r="H34" i="42"/>
  <c r="H14" i="40" l="1"/>
  <c r="H26" i="40"/>
  <c r="I5" i="17" s="1"/>
  <c r="F5" i="17" s="1"/>
  <c r="E5" i="17" s="1"/>
  <c r="J55" i="42"/>
  <c r="I6" i="41"/>
  <c r="J56" i="42"/>
  <c r="I16" i="41"/>
  <c r="F16" i="41" s="1"/>
  <c r="J34" i="42"/>
  <c r="I10" i="41"/>
  <c r="J35" i="42"/>
  <c r="I15" i="41"/>
  <c r="F15" i="41" s="1"/>
  <c r="J18" i="42"/>
  <c r="J17" i="42"/>
  <c r="F14" i="41"/>
  <c r="H9" i="17"/>
  <c r="E9" i="17"/>
  <c r="J112" i="40"/>
  <c r="I11" i="17"/>
  <c r="F11" i="17" s="1"/>
  <c r="H7" i="17"/>
  <c r="E7" i="17"/>
  <c r="J82" i="40"/>
  <c r="J53" i="40"/>
  <c r="H97" i="40"/>
  <c r="H39" i="40"/>
  <c r="H68" i="40"/>
  <c r="I7" i="41" l="1"/>
  <c r="J14" i="40"/>
  <c r="I4" i="17"/>
  <c r="F4" i="17" s="1"/>
  <c r="E4" i="17" s="1"/>
  <c r="J26" i="40"/>
  <c r="H5" i="17"/>
  <c r="I17" i="41"/>
  <c r="J58" i="42"/>
  <c r="I11" i="41"/>
  <c r="F6" i="41"/>
  <c r="E6" i="41" s="1"/>
  <c r="E16" i="41"/>
  <c r="H16" i="41"/>
  <c r="E15" i="41"/>
  <c r="H15" i="41"/>
  <c r="E14" i="41"/>
  <c r="H14" i="41"/>
  <c r="E11" i="17"/>
  <c r="H11" i="17"/>
  <c r="J68" i="40"/>
  <c r="I8" i="17"/>
  <c r="F8" i="17" s="1"/>
  <c r="J39" i="40"/>
  <c r="I6" i="17"/>
  <c r="F6" i="17" s="1"/>
  <c r="J97" i="40"/>
  <c r="I10" i="17"/>
  <c r="F10" i="17" s="1"/>
  <c r="F10" i="41"/>
  <c r="F5" i="41"/>
  <c r="A131" i="34"/>
  <c r="A108" i="34"/>
  <c r="E116" i="34" s="1"/>
  <c r="H116" i="34" s="1"/>
  <c r="A98" i="34"/>
  <c r="A67" i="34"/>
  <c r="A77" i="34"/>
  <c r="A45" i="34"/>
  <c r="A35" i="34"/>
  <c r="A20" i="34"/>
  <c r="A5" i="34"/>
  <c r="I140" i="34"/>
  <c r="I128" i="34"/>
  <c r="I105" i="34"/>
  <c r="I95" i="34"/>
  <c r="I42" i="34"/>
  <c r="I32" i="34"/>
  <c r="I17" i="34"/>
  <c r="D11" i="34" l="1"/>
  <c r="E11" i="34" s="1"/>
  <c r="H11" i="34" s="1"/>
  <c r="D12" i="34"/>
  <c r="E12" i="34" s="1"/>
  <c r="H12" i="34" s="1"/>
  <c r="D27" i="34"/>
  <c r="D26" i="34"/>
  <c r="D39" i="34"/>
  <c r="D38" i="34"/>
  <c r="E38" i="34" s="1"/>
  <c r="H38" i="34" s="1"/>
  <c r="D54" i="34"/>
  <c r="D53" i="34"/>
  <c r="E53" i="34" s="1"/>
  <c r="H53" i="34" s="1"/>
  <c r="D60" i="34"/>
  <c r="E60" i="34" s="1"/>
  <c r="H60" i="34" s="1"/>
  <c r="E61" i="34"/>
  <c r="D84" i="34"/>
  <c r="E84" i="34" s="1"/>
  <c r="H84" i="34" s="1"/>
  <c r="D85" i="34"/>
  <c r="E85" i="34" s="1"/>
  <c r="H85" i="34" s="1"/>
  <c r="D66" i="34"/>
  <c r="E66" i="34" s="1"/>
  <c r="H66" i="34" s="1"/>
  <c r="D71" i="34"/>
  <c r="D70" i="34"/>
  <c r="E70" i="34" s="1"/>
  <c r="H70" i="34" s="1"/>
  <c r="D97" i="34"/>
  <c r="E97" i="34" s="1"/>
  <c r="H97" i="34" s="1"/>
  <c r="D102" i="34"/>
  <c r="E102" i="34" s="1"/>
  <c r="H102" i="34" s="1"/>
  <c r="D101" i="34"/>
  <c r="E101" i="34" s="1"/>
  <c r="H101" i="34" s="1"/>
  <c r="D138" i="34"/>
  <c r="E138" i="34" s="1"/>
  <c r="H138" i="34" s="1"/>
  <c r="D137" i="34"/>
  <c r="D136" i="34"/>
  <c r="E136" i="34" s="1"/>
  <c r="H136" i="34" s="1"/>
  <c r="D103" i="34"/>
  <c r="E103" i="34" s="1"/>
  <c r="H103" i="34" s="1"/>
  <c r="E73" i="34"/>
  <c r="H73" i="34" s="1"/>
  <c r="D72" i="34"/>
  <c r="E72" i="34" s="1"/>
  <c r="H72" i="34" s="1"/>
  <c r="D40" i="34"/>
  <c r="E40" i="34" s="1"/>
  <c r="H40" i="34" s="1"/>
  <c r="D28" i="34"/>
  <c r="E28" i="34" s="1"/>
  <c r="H28" i="34" s="1"/>
  <c r="E21" i="34"/>
  <c r="H21" i="34" s="1"/>
  <c r="E22" i="34"/>
  <c r="E20" i="34"/>
  <c r="H20" i="34" s="1"/>
  <c r="D135" i="34"/>
  <c r="E135" i="34" s="1"/>
  <c r="H135" i="34" s="1"/>
  <c r="E133" i="34"/>
  <c r="H133" i="34" s="1"/>
  <c r="E132" i="34"/>
  <c r="H132" i="34" s="1"/>
  <c r="E134" i="34"/>
  <c r="H134" i="34" s="1"/>
  <c r="E98" i="34"/>
  <c r="H98" i="34" s="1"/>
  <c r="E99" i="34"/>
  <c r="H99" i="34" s="1"/>
  <c r="E41" i="34"/>
  <c r="H41" i="34" s="1"/>
  <c r="E36" i="34"/>
  <c r="H36" i="34" s="1"/>
  <c r="E35" i="34"/>
  <c r="H35" i="34" s="1"/>
  <c r="E47" i="34"/>
  <c r="H47" i="34" s="1"/>
  <c r="E46" i="34"/>
  <c r="H46" i="34" s="1"/>
  <c r="E48" i="34"/>
  <c r="H48" i="34" s="1"/>
  <c r="E49" i="34"/>
  <c r="H49" i="34" s="1"/>
  <c r="E80" i="34"/>
  <c r="H80" i="34" s="1"/>
  <c r="E79" i="34"/>
  <c r="H79" i="34" s="1"/>
  <c r="E78" i="34"/>
  <c r="H78" i="34" s="1"/>
  <c r="E68" i="34"/>
  <c r="H68" i="34" s="1"/>
  <c r="E67" i="34"/>
  <c r="H67" i="34" s="1"/>
  <c r="D108" i="34"/>
  <c r="D107" i="34"/>
  <c r="E112" i="34"/>
  <c r="H112" i="34" s="1"/>
  <c r="E113" i="34"/>
  <c r="H113" i="34" s="1"/>
  <c r="E111" i="34"/>
  <c r="H111" i="34" s="1"/>
  <c r="E110" i="34"/>
  <c r="H110" i="34" s="1"/>
  <c r="H18" i="41"/>
  <c r="C18" i="45" s="1"/>
  <c r="C21" i="45" s="1"/>
  <c r="D10" i="34"/>
  <c r="E7" i="34"/>
  <c r="H7" i="34" s="1"/>
  <c r="H22" i="34"/>
  <c r="E5" i="34"/>
  <c r="H5" i="34" s="1"/>
  <c r="E6" i="34"/>
  <c r="H6" i="34" s="1"/>
  <c r="H4" i="17"/>
  <c r="H6" i="41"/>
  <c r="J114" i="40"/>
  <c r="I12" i="17" s="1"/>
  <c r="H10" i="17"/>
  <c r="E10" i="17"/>
  <c r="H8" i="17"/>
  <c r="E8" i="17"/>
  <c r="E6" i="17"/>
  <c r="H6" i="17"/>
  <c r="E5" i="41"/>
  <c r="H5" i="41"/>
  <c r="E10" i="41"/>
  <c r="H10" i="41"/>
  <c r="H12" i="41" s="1"/>
  <c r="C11" i="45" s="1"/>
  <c r="E104" i="34"/>
  <c r="H104" i="34" s="1"/>
  <c r="D100" i="34"/>
  <c r="E100" i="34" s="1"/>
  <c r="H100" i="34" s="1"/>
  <c r="D44" i="34"/>
  <c r="E58" i="34"/>
  <c r="H58" i="34" s="1"/>
  <c r="D63" i="34"/>
  <c r="D69" i="34"/>
  <c r="E139" i="34"/>
  <c r="H139" i="34" s="1"/>
  <c r="F17" i="38"/>
  <c r="I16" i="35" s="1"/>
  <c r="H16" i="35" s="1"/>
  <c r="E77" i="34"/>
  <c r="H77" i="34" s="1"/>
  <c r="D86" i="34"/>
  <c r="E86" i="34" s="1"/>
  <c r="H86" i="34" s="1"/>
  <c r="D55" i="34"/>
  <c r="E55" i="34" s="1"/>
  <c r="H55" i="34" s="1"/>
  <c r="H61" i="34"/>
  <c r="E109" i="34"/>
  <c r="H109" i="34" s="1"/>
  <c r="D119" i="34"/>
  <c r="E119" i="34" s="1"/>
  <c r="H119" i="34" s="1"/>
  <c r="E8" i="34"/>
  <c r="H8" i="34" s="1"/>
  <c r="D13" i="34"/>
  <c r="E13" i="34" s="1"/>
  <c r="H13" i="34" s="1"/>
  <c r="E29" i="34"/>
  <c r="H29" i="34" s="1"/>
  <c r="E117" i="34"/>
  <c r="H117" i="34" s="1"/>
  <c r="E125" i="34"/>
  <c r="H125" i="34" s="1"/>
  <c r="D124" i="34"/>
  <c r="E124" i="34" s="1"/>
  <c r="H124" i="34" s="1"/>
  <c r="D34" i="34"/>
  <c r="E26" i="34"/>
  <c r="H26" i="34" s="1"/>
  <c r="E92" i="34"/>
  <c r="H92" i="34" s="1"/>
  <c r="D91" i="34"/>
  <c r="E91" i="34" s="1"/>
  <c r="H91" i="34" s="1"/>
  <c r="D19" i="34"/>
  <c r="D131" i="34"/>
  <c r="D130" i="34"/>
  <c r="D76" i="34"/>
  <c r="E76" i="34" s="1"/>
  <c r="H76" i="34" s="1"/>
  <c r="D45" i="34"/>
  <c r="D83" i="34"/>
  <c r="E83" i="34" s="1"/>
  <c r="H83" i="34" s="1"/>
  <c r="C14" i="45" l="1"/>
  <c r="H8" i="41"/>
  <c r="C4" i="45" s="1"/>
  <c r="C7" i="45" s="1"/>
  <c r="H13" i="17"/>
  <c r="C5" i="30" s="1"/>
  <c r="E123" i="34"/>
  <c r="H123" i="34" s="1"/>
  <c r="E122" i="34"/>
  <c r="H122" i="34" s="1"/>
  <c r="E121" i="34"/>
  <c r="H121" i="34" s="1"/>
  <c r="E120" i="34"/>
  <c r="H120" i="34" s="1"/>
  <c r="E118" i="34"/>
  <c r="H118" i="34" s="1"/>
  <c r="D115" i="34"/>
  <c r="E115" i="34" s="1"/>
  <c r="H115" i="34" s="1"/>
  <c r="E108" i="34"/>
  <c r="H108" i="34" s="1"/>
  <c r="E131" i="34"/>
  <c r="H131" i="34" s="1"/>
  <c r="E130" i="34"/>
  <c r="H130" i="34" s="1"/>
  <c r="E107" i="34"/>
  <c r="H107" i="34" s="1"/>
  <c r="D114" i="34"/>
  <c r="E114" i="34" s="1"/>
  <c r="H114" i="34" s="1"/>
  <c r="D94" i="34"/>
  <c r="E82" i="34"/>
  <c r="H82" i="34" s="1"/>
  <c r="D127" i="34"/>
  <c r="E127" i="34" s="1"/>
  <c r="H127" i="34" s="1"/>
  <c r="E137" i="34"/>
  <c r="H137" i="34" s="1"/>
  <c r="E71" i="34"/>
  <c r="H71" i="34" s="1"/>
  <c r="E69" i="34"/>
  <c r="H69" i="34" s="1"/>
  <c r="E63" i="34"/>
  <c r="H63" i="34" s="1"/>
  <c r="E54" i="34"/>
  <c r="H54" i="34" s="1"/>
  <c r="D52" i="34"/>
  <c r="E52" i="34" s="1"/>
  <c r="H52" i="34" s="1"/>
  <c r="E45" i="34"/>
  <c r="H45" i="34" s="1"/>
  <c r="E44" i="34"/>
  <c r="H44" i="34" s="1"/>
  <c r="E10" i="34"/>
  <c r="H10" i="34" s="1"/>
  <c r="D4" i="34"/>
  <c r="E4" i="34" s="1"/>
  <c r="H4" i="34" s="1"/>
  <c r="E39" i="34"/>
  <c r="H39" i="34" s="1"/>
  <c r="D37" i="34"/>
  <c r="E37" i="34" s="1"/>
  <c r="H37" i="34" s="1"/>
  <c r="E27" i="34"/>
  <c r="H27" i="34" s="1"/>
  <c r="D25" i="34"/>
  <c r="E25" i="34" s="1"/>
  <c r="H25" i="34" s="1"/>
  <c r="E19" i="34"/>
  <c r="H19" i="34" s="1"/>
  <c r="E34" i="34"/>
  <c r="H34" i="34" s="1"/>
  <c r="E59" i="34"/>
  <c r="H59" i="34" s="1"/>
  <c r="E57" i="34"/>
  <c r="H57" i="34" s="1"/>
  <c r="E56" i="34"/>
  <c r="H56" i="34" s="1"/>
  <c r="E51" i="34"/>
  <c r="H51" i="34" s="1"/>
  <c r="E50" i="34"/>
  <c r="H50" i="34" s="1"/>
  <c r="H105" i="34" l="1"/>
  <c r="H42" i="34"/>
  <c r="E89" i="34"/>
  <c r="H89" i="34" s="1"/>
  <c r="E88" i="34"/>
  <c r="H88" i="34" s="1"/>
  <c r="E94" i="34"/>
  <c r="H94" i="34" s="1"/>
  <c r="E81" i="34"/>
  <c r="H81" i="34" s="1"/>
  <c r="E87" i="34"/>
  <c r="H87" i="34" s="1"/>
  <c r="E90" i="34"/>
  <c r="H90" i="34" s="1"/>
  <c r="E31" i="34"/>
  <c r="H31" i="34" s="1"/>
  <c r="E30" i="34"/>
  <c r="H30" i="34" s="1"/>
  <c r="E24" i="34"/>
  <c r="H24" i="34" s="1"/>
  <c r="E23" i="34"/>
  <c r="H23" i="34" s="1"/>
  <c r="E15" i="34"/>
  <c r="H15" i="34" s="1"/>
  <c r="E9" i="34"/>
  <c r="H9" i="34" s="1"/>
  <c r="J42" i="34" l="1"/>
  <c r="I7" i="35"/>
  <c r="F7" i="35" s="1"/>
  <c r="J105" i="34"/>
  <c r="I11" i="35"/>
  <c r="F11" i="35" s="1"/>
  <c r="H95" i="34"/>
  <c r="H64" i="34"/>
  <c r="E16" i="34"/>
  <c r="H16" i="34" s="1"/>
  <c r="E14" i="34"/>
  <c r="H14" i="34" s="1"/>
  <c r="H74" i="34"/>
  <c r="H128" i="34"/>
  <c r="I12" i="35" s="1"/>
  <c r="F12" i="35" s="1"/>
  <c r="H140" i="34" l="1"/>
  <c r="I13" i="35" s="1"/>
  <c r="F13" i="35" s="1"/>
  <c r="E13" i="35" s="1"/>
  <c r="J74" i="34"/>
  <c r="I9" i="35"/>
  <c r="F9" i="35" s="1"/>
  <c r="J64" i="34"/>
  <c r="I8" i="35"/>
  <c r="F8" i="35" s="1"/>
  <c r="H12" i="35"/>
  <c r="E12" i="35"/>
  <c r="J95" i="34"/>
  <c r="I10" i="35"/>
  <c r="F10" i="35" s="1"/>
  <c r="H7" i="35"/>
  <c r="E7" i="35"/>
  <c r="H11" i="35"/>
  <c r="E11" i="35"/>
  <c r="J128" i="34"/>
  <c r="H32" i="34"/>
  <c r="H17" i="34"/>
  <c r="J17" i="34" s="1"/>
  <c r="H13" i="35" l="1"/>
  <c r="J32" i="34"/>
  <c r="I6" i="35"/>
  <c r="F6" i="35" s="1"/>
  <c r="H10" i="35"/>
  <c r="E10" i="35"/>
  <c r="H9" i="35"/>
  <c r="E9" i="35"/>
  <c r="H8" i="35"/>
  <c r="E8" i="35"/>
  <c r="I5" i="35"/>
  <c r="F5" i="35" s="1"/>
  <c r="J140" i="34"/>
  <c r="J142" i="34" l="1"/>
  <c r="I14" i="35" s="1"/>
  <c r="H6" i="35"/>
  <c r="E6" i="35"/>
  <c r="H5" i="35" l="1"/>
  <c r="H17" i="35" s="1"/>
  <c r="E5" i="35"/>
  <c r="C4" i="30" l="1"/>
  <c r="C7" i="30" s="1"/>
  <c r="D4" i="48" l="1"/>
  <c r="D74" i="47" s="1"/>
  <c r="D7" i="48" l="1"/>
  <c r="C6" i="11" l="1"/>
  <c r="D76" i="47" s="1"/>
  <c r="C8" i="11"/>
  <c r="D87" i="4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<sst xmlns="http://schemas.openxmlformats.org/spreadsheetml/2006/main" count="1172" uniqueCount="399">
  <si>
    <t>Bieterangaben</t>
  </si>
  <si>
    <t>Vortriebsleistung</t>
  </si>
  <si>
    <t>Vortriebsdauer</t>
  </si>
  <si>
    <t>Abschlags-länge</t>
  </si>
  <si>
    <t>Einheit</t>
  </si>
  <si>
    <t>m³</t>
  </si>
  <si>
    <t>m²</t>
  </si>
  <si>
    <t>m</t>
  </si>
  <si>
    <t>Bezeichnung</t>
  </si>
  <si>
    <r>
      <rPr>
        <b/>
        <sz val="9"/>
        <color theme="1"/>
        <rFont val="Symbol"/>
        <family val="1"/>
        <charset val="2"/>
      </rPr>
      <t>S</t>
    </r>
    <r>
      <rPr>
        <b/>
        <sz val="9"/>
        <color theme="1"/>
        <rFont val="Arial"/>
        <family val="2"/>
      </rPr>
      <t xml:space="preserve"> der Lohnstunden</t>
    </r>
  </si>
  <si>
    <t>Spritzbeton Kalotte d = 25 cm</t>
  </si>
  <si>
    <t>SN-Anker l = 4,0 m</t>
  </si>
  <si>
    <t>Gesamtlohnstunden je lfdm.</t>
  </si>
  <si>
    <t>Ortsbrustversiegelung d = 5 cm</t>
  </si>
  <si>
    <t>Spritzbeton Kalotte d = 30 cm</t>
  </si>
  <si>
    <t>Bewehrung Ortsbrust Q 188 A</t>
  </si>
  <si>
    <t>Vkl-Verteilung</t>
  </si>
  <si>
    <t>Kalendertage</t>
  </si>
  <si>
    <t>1.</t>
  </si>
  <si>
    <t>2.</t>
  </si>
  <si>
    <t>3.</t>
  </si>
  <si>
    <t>Teilbauzeit</t>
  </si>
  <si>
    <t>Festzeit vom Bieter einzutragen</t>
  </si>
  <si>
    <t>Baubeginn bis Vortriebsbeginn
(Teilbauzeit 1)</t>
  </si>
  <si>
    <t>Betonierende bis Bauende
(Teilbauzeit 3)</t>
  </si>
  <si>
    <t>SB-Anker l = 6,0 m</t>
  </si>
  <si>
    <t xml:space="preserve"> Kalotte</t>
  </si>
  <si>
    <t>VA</t>
  </si>
  <si>
    <t>Ausbaubogen Gitterträger Typ 2</t>
  </si>
  <si>
    <t>Kalotte 6A.1 HR</t>
  </si>
  <si>
    <t>Kalotte 6A.2 HR</t>
  </si>
  <si>
    <t>Spritzbeton Kalotte d = 35 cm</t>
  </si>
  <si>
    <t>Ausbaubogen Gitterträger Typ 3</t>
  </si>
  <si>
    <t>Spritzbeton Kalottenfuß</t>
  </si>
  <si>
    <t>Spritzbeton Kalottensohle d = 25 cm</t>
  </si>
  <si>
    <t>II / V</t>
  </si>
  <si>
    <t>II / III / V</t>
  </si>
  <si>
    <t>Kalottensohle 6A.2 HR</t>
  </si>
  <si>
    <t>Vollspieße; l=4,0 m, unvermörtelt (50%)</t>
  </si>
  <si>
    <t>Kalottensohle 7A.3 HR</t>
  </si>
  <si>
    <t>Kalotte 7A.3 HR</t>
  </si>
  <si>
    <t>Kalotte 7A.1 HR</t>
  </si>
  <si>
    <t>Kalottensohle 7A.1 HR</t>
  </si>
  <si>
    <t>Spritzbeton Kalottensohle d =25 cm</t>
  </si>
  <si>
    <t>Menge je Abschlag</t>
  </si>
  <si>
    <t>Rohrschirm</t>
  </si>
  <si>
    <t>I / IV / VI</t>
  </si>
  <si>
    <r>
      <t xml:space="preserve">VKL
</t>
    </r>
    <r>
      <rPr>
        <sz val="9"/>
        <color theme="1"/>
        <rFont val="Arial"/>
        <family val="2"/>
      </rPr>
      <t>Abschlagslänge</t>
    </r>
  </si>
  <si>
    <t xml:space="preserve">Menge </t>
  </si>
  <si>
    <t>St</t>
  </si>
  <si>
    <t>m3</t>
  </si>
  <si>
    <t>Geologisch bedingter Mehrausbruch</t>
  </si>
  <si>
    <t>Ausbr. b. Wasserandr. herst. (Zul.) 5 -10 l/s über GW</t>
  </si>
  <si>
    <t>Zus. Bauzeit Abschlag mixed face</t>
  </si>
  <si>
    <t>Zusatzzeit Umstellen KSG im Nachgang</t>
  </si>
  <si>
    <t>Ausbr. b. Wasserandr. herst. (Zul.) bis 5 l/s über GW</t>
  </si>
  <si>
    <t>Kalotte/Strosse RST</t>
  </si>
  <si>
    <t>6A.1 RS</t>
  </si>
  <si>
    <t>6A.1 AW</t>
  </si>
  <si>
    <t>7A.1 RS</t>
  </si>
  <si>
    <t>Sohle RST</t>
  </si>
  <si>
    <t>Spritzbeton Strosse/Sohle d = 25 cm</t>
  </si>
  <si>
    <t>II / III</t>
  </si>
  <si>
    <r>
      <t xml:space="preserve">Ausbruch VKL 6A.2 HR, mit td+ü= 3cm; Abschlagslänge 2,60 m 
</t>
    </r>
    <r>
      <rPr>
        <b/>
        <sz val="9"/>
        <rFont val="Arial"/>
        <family val="2"/>
      </rPr>
      <t>Sprengen 100%</t>
    </r>
  </si>
  <si>
    <t>Spritzbeton Strosse/Sohle d = 30 cm</t>
  </si>
  <si>
    <t>Kalotte/Strosse 6A.1 RS</t>
  </si>
  <si>
    <t>Spritzbeton Kalotte d = 20 cm</t>
  </si>
  <si>
    <t>Kalotte/Strosse 6A.1 AW</t>
  </si>
  <si>
    <r>
      <t xml:space="preserve">Ausbruch VKL 6A.2 HR, mit td+ü= 5cm; Abschlagslänge 1,30 m 
</t>
    </r>
    <r>
      <rPr>
        <b/>
        <sz val="9"/>
        <rFont val="Arial"/>
        <family val="2"/>
      </rPr>
      <t>Sprengen 100%</t>
    </r>
  </si>
  <si>
    <t>Kalotte/Strosse 7A.1 RS</t>
  </si>
  <si>
    <t>Zulage Mehraufwand
Verschneidungsblöcke</t>
  </si>
  <si>
    <t>Sohle 6A.1 RS</t>
  </si>
  <si>
    <t>Sohle 6A.1 AW</t>
  </si>
  <si>
    <t>Sohle 7A.1 RS</t>
  </si>
  <si>
    <t>Summe Lohnstunden Soll Sohlvortrieb</t>
  </si>
  <si>
    <r>
      <t xml:space="preserve">Ausbruch VKL 6A.1 RS, mit td+ü= 3cm; Abschlagslänge 2,60 m 
</t>
    </r>
    <r>
      <rPr>
        <b/>
        <sz val="9"/>
        <rFont val="Arial"/>
        <family val="2"/>
      </rPr>
      <t>Sprengen 100%</t>
    </r>
  </si>
  <si>
    <t>Spritzbeton Sohle d = 20 cm</t>
  </si>
  <si>
    <r>
      <t xml:space="preserve">Ausbruch VKL 6A.1 AW, mit td+ü= 3cm; Abschlagslänge 2,60 m 
</t>
    </r>
    <r>
      <rPr>
        <b/>
        <sz val="9"/>
        <rFont val="Arial"/>
        <family val="2"/>
      </rPr>
      <t>Sprengen 100%</t>
    </r>
  </si>
  <si>
    <t>Kalotte 7A.2 HR</t>
  </si>
  <si>
    <t>Kalottensohle 7A.2 HR</t>
  </si>
  <si>
    <t>SB-Anker l= 12 m, Ortsbrust neu einbauen</t>
  </si>
  <si>
    <t>SB-Anker l= 12 m, Ortsbrust nachsetzen, abschneiden und Erschwernis beim lösen (4m Überlappung)</t>
  </si>
  <si>
    <t>Ortsbrust Spritzbeton d = 10 cm</t>
  </si>
  <si>
    <t>Bewehrung Kalotte bergseitig Q 257 A</t>
  </si>
  <si>
    <t>Bewehrung Kalottensohle bergseitig Q 257 A</t>
  </si>
  <si>
    <t>Strosse/Sohle 6A.2 HR
(ohne KSG)</t>
  </si>
  <si>
    <t>Strosse/Sohle 7A.1 HR
(ohne KSG)</t>
  </si>
  <si>
    <t>Strosse/Sohle 7A.2 HR
(ohne KSG)</t>
  </si>
  <si>
    <t>Strosse/Sohle 7A.2 HR
(mit KSG)</t>
  </si>
  <si>
    <t>Strosse/Sohle 7A.1 HR
(mit KSG)</t>
  </si>
  <si>
    <t>Strosse/Sohle 6A.2 HR
(mit KSG)</t>
  </si>
  <si>
    <t>Bewehrung Strosse/Sohle bergseitig Q 257 A</t>
  </si>
  <si>
    <t>Spritzbeton Kalottensohle d = 25 cm abbrechen</t>
  </si>
  <si>
    <t>Strosse/Sohle 7A.3 HR
(mit KSG)</t>
  </si>
  <si>
    <t>Strosse/Sohle 6A.1 HR
(ohne KSG)</t>
  </si>
  <si>
    <t>Summe Lohnstunden Soll Vortrieb Strosse/Sohle</t>
  </si>
  <si>
    <t>SB-Anker l = 3,0 m</t>
  </si>
  <si>
    <t>SN-Anker l = 3,0 m</t>
  </si>
  <si>
    <t>Bewehrung bergseitig Q 257 A</t>
  </si>
  <si>
    <t>Spritzbeton Sohle d = 25 cm</t>
  </si>
  <si>
    <t>Summe Lohnstunden Soll Vortrieb Kalotte/Strosse Rettungssstollen</t>
  </si>
  <si>
    <t>Bewehrungsanschluss</t>
  </si>
  <si>
    <t>Vortriebsbeginn bis Betonierende
(Teilbauzeit 2)</t>
  </si>
  <si>
    <t>Spritzbeton Kalottensohle d = 20 cm</t>
  </si>
  <si>
    <t>Teilflächen</t>
  </si>
  <si>
    <r>
      <t xml:space="preserve">Ausbruch VKL 7A.2 HR, mit td+ü=10cm; Abschlagslänge 1,00 m 
</t>
    </r>
    <r>
      <rPr>
        <b/>
        <sz val="9"/>
        <rFont val="Arial"/>
        <family val="2"/>
      </rPr>
      <t>Mechanisches Lösen 100%</t>
    </r>
  </si>
  <si>
    <t xml:space="preserve">Bewehrungsanschluss </t>
  </si>
  <si>
    <t>LEISTUNGSANGABEN / ERMITTLUNG DER GESAMTBAUZEIT</t>
  </si>
  <si>
    <t>Allgemeines</t>
  </si>
  <si>
    <t>Generell gilt: Bei der Ermittlung der Bauzeiten werden grundsätzlich nur Zeiten berücksichtigt, die auf dem kritischen Weg liegen.</t>
  </si>
  <si>
    <t>• Einarbeitungszeit der Mannschaften</t>
  </si>
  <si>
    <t xml:space="preserve">• Erschwernisse und Behinderungen beim Ausbruch und der Sicherung von Nischen </t>
  </si>
  <si>
    <t>• Erschwernisse durch Wasseranfall bis zur Grenzwassermenge von 5 l/s im Vortriebsbereich</t>
  </si>
  <si>
    <t>• Arbeiten außerhalb des Vortriebsbereiches</t>
  </si>
  <si>
    <t>• Zeitbestimmende Einflüsse aus: Abdichtungsarbeiten inkl. Abdichtungsträger, Betonnachbehandlung</t>
  </si>
  <si>
    <t>• Alle Erschwernisse und Aufwendungen zum Schutz der Fahrsohle</t>
  </si>
  <si>
    <t>• Sämtliche Mehraufwendungen und Behinderungen infolge des Einbaus der Bewehrung</t>
  </si>
  <si>
    <t>Kalotte HR</t>
  </si>
  <si>
    <t>Termin</t>
  </si>
  <si>
    <t>Angebotstermine</t>
  </si>
  <si>
    <t>Vorgabe der Vergabestelle</t>
  </si>
  <si>
    <t>T 1</t>
  </si>
  <si>
    <t>T 2</t>
  </si>
  <si>
    <t>T 3</t>
  </si>
  <si>
    <t>Vertragstermine</t>
  </si>
  <si>
    <t>Bauzeit gem. Prognose VKL</t>
  </si>
  <si>
    <t>Vertraglicher Baubeginn (= Beginn der Bauarbeiten vor Ort)</t>
  </si>
  <si>
    <t>Gesamtbetonierzeit Rettungsstollen 1+2</t>
  </si>
  <si>
    <t>Fertigstellung Innenausbau und Fahrbahn Tunnel</t>
  </si>
  <si>
    <t>Ausbruch und Sicherung von Nischen (Notruf-, Hydranten-, Elektro-)</t>
  </si>
  <si>
    <t>Zulage Mehraufwand
Nischen</t>
  </si>
  <si>
    <t>Zulage Mehraufwand 
Verschneidungsblöcke und Aufweitungen</t>
  </si>
  <si>
    <t>T 5</t>
  </si>
  <si>
    <t>Selbstbohrspieße; l=4,0m, vermörtelt (50%)</t>
  </si>
  <si>
    <t>Selbstbohrspieße; l=4,0 m vermörtelt (50%)</t>
  </si>
  <si>
    <t>Rohrspieße; l=4,0m  (50%)</t>
  </si>
  <si>
    <t>Ausbaubogen Gitterträger Typ 1</t>
  </si>
  <si>
    <t>Bewehrung Kalotte luftseitig Q 257 A</t>
  </si>
  <si>
    <t>Bewehrung Kalottensohle luftseitig Q 257 A</t>
  </si>
  <si>
    <t>Bewehrung Strosse/Sohle luftseitig Q 257 A</t>
  </si>
  <si>
    <t>Bewehrung luftseitig Q 257 A</t>
  </si>
  <si>
    <r>
      <t xml:space="preserve">Ausbruch VKL 6A.1 HR, mit td+ü= 3cm; Abschlagslänge 3,40 m 
</t>
    </r>
    <r>
      <rPr>
        <b/>
        <sz val="9"/>
        <rFont val="Arial"/>
        <family val="2"/>
      </rPr>
      <t>Sprengen 100%</t>
    </r>
  </si>
  <si>
    <r>
      <t xml:space="preserve">Ausbruch VKL Kalottensohle 6A.2 HR; 
Abschlagslänge 2,60 m
</t>
    </r>
    <r>
      <rPr>
        <b/>
        <sz val="9"/>
        <rFont val="Arial"/>
        <family val="2"/>
      </rPr>
      <t>Sprengen 100%</t>
    </r>
  </si>
  <si>
    <t>Spritzbeton Kalottensohle d = 20 cm abbrechen</t>
  </si>
  <si>
    <t>Gesamtlohnstunden Rettungsstollen 2 je lfdm.</t>
  </si>
  <si>
    <t>Summe Vortriebsdauer Kalotte/Strosse Rettungsstollen 1 AW</t>
  </si>
  <si>
    <t xml:space="preserve">I RS1 </t>
  </si>
  <si>
    <t>I RS2</t>
  </si>
  <si>
    <t>I RS1</t>
  </si>
  <si>
    <t>Summe Vortriebsdauer Kalotte/Strosse Rettungsstollen 1 RQ</t>
  </si>
  <si>
    <t>Summe Vortriebsdauer Kalotte/Strosse Rettungsstollen 2 RQ+AW</t>
  </si>
  <si>
    <t>Gesamtlohnstunden Rettungsstollen 1 je lfdm.</t>
  </si>
  <si>
    <t>Strosse/Sohle 6A.1 LB</t>
  </si>
  <si>
    <t>6A.1 LB</t>
  </si>
  <si>
    <t>Summe Lohnstunden Soll Vortrieb Strosse, Sohle Luftbogenstrecke</t>
  </si>
  <si>
    <r>
      <t xml:space="preserve">Abschläge
pro KT
</t>
    </r>
    <r>
      <rPr>
        <sz val="9"/>
        <color theme="1"/>
        <rFont val="Arial"/>
        <family val="2"/>
      </rPr>
      <t>(Ermittlung auf zwei Nachkommastellen gerundet)</t>
    </r>
  </si>
  <si>
    <r>
      <t xml:space="preserve">KT
</t>
    </r>
    <r>
      <rPr>
        <sz val="9"/>
        <color theme="1"/>
        <rFont val="Arial"/>
        <family val="2"/>
      </rPr>
      <t>(Ermittlung auf zwei Nachkommastellen gerundet)</t>
    </r>
  </si>
  <si>
    <r>
      <t xml:space="preserve">m/KT
</t>
    </r>
    <r>
      <rPr>
        <sz val="9"/>
        <color theme="1"/>
        <rFont val="Arial"/>
        <family val="2"/>
      </rPr>
      <t>(Ermittlung auf zwei Nachkommastellen gerundet)</t>
    </r>
  </si>
  <si>
    <t>Vortriebsklasse</t>
  </si>
  <si>
    <t>Vortrieb</t>
  </si>
  <si>
    <t>Eine formale Veränderung der vorgegebenen Tabellen zur Ermittlung der Gesamtbauzeit ist nicht zulässig!</t>
  </si>
  <si>
    <r>
      <t>*</t>
    </r>
    <r>
      <rPr>
        <vertAlign val="superscript"/>
        <sz val="11"/>
        <rFont val="Arial"/>
        <family val="2"/>
      </rPr>
      <t xml:space="preserve">)    </t>
    </r>
    <r>
      <rPr>
        <sz val="11"/>
        <rFont val="Arial"/>
        <family val="2"/>
      </rPr>
      <t>Die berechneten durchschnittlichen Lohnstunden je Kalendertag werden zur Ermittlung der Vortriebsleistung [m/KT] zu Grunde gelegt. Die hieraus ermittelten Vortriebsleistungen werden Vertragsbestandteil.</t>
    </r>
  </si>
  <si>
    <r>
      <t>**</t>
    </r>
    <r>
      <rPr>
        <vertAlign val="superscript"/>
        <sz val="11"/>
        <rFont val="Arial"/>
        <family val="2"/>
      </rPr>
      <t>)</t>
    </r>
    <r>
      <rPr>
        <sz val="11"/>
        <rFont val="Arial"/>
        <family val="2"/>
      </rPr>
      <t xml:space="preserve"> Die angegebenen Mannschaftstärken, Schichten, Lohnstunden und Arbeitstage sind Grundlage für die Ermittlung der Vortriebsleistungen und sind unveränderbar.</t>
    </r>
  </si>
  <si>
    <t>Mannschaftsstärke</t>
  </si>
  <si>
    <r>
      <t>Schichten je Kalendertag**</t>
    </r>
    <r>
      <rPr>
        <vertAlign val="superscript"/>
        <sz val="11"/>
        <rFont val="Arial"/>
        <family val="2"/>
      </rPr>
      <t>)</t>
    </r>
    <r>
      <rPr>
        <sz val="11"/>
        <rFont val="Arial"/>
        <family val="2"/>
      </rPr>
      <t xml:space="preserve">
</t>
    </r>
    <r>
      <rPr>
        <sz val="9"/>
        <rFont val="Arial"/>
        <family val="2"/>
      </rPr>
      <t>(Angabe als ganze Zahl)</t>
    </r>
  </si>
  <si>
    <r>
      <t>Durchschnittl. Lohnstunden
je produktive Arbeitskraft (Mineur) je Schicht**</t>
    </r>
    <r>
      <rPr>
        <vertAlign val="superscript"/>
        <sz val="11"/>
        <rFont val="Arial"/>
        <family val="2"/>
      </rPr>
      <t>)</t>
    </r>
    <r>
      <rPr>
        <sz val="11"/>
        <rFont val="Arial"/>
        <family val="2"/>
      </rPr>
      <t xml:space="preserve">
</t>
    </r>
    <r>
      <rPr>
        <sz val="9"/>
        <rFont val="Arial"/>
        <family val="2"/>
      </rPr>
      <t>(Angabe mit einer Nachkommastelle)</t>
    </r>
  </si>
  <si>
    <r>
      <t>Durchschnittl. Mannschaftstärke der 
produktiven Arbeitskräfte (Mineure) je Schicht**</t>
    </r>
    <r>
      <rPr>
        <vertAlign val="superscript"/>
        <sz val="11"/>
        <rFont val="Arial"/>
        <family val="2"/>
      </rPr>
      <t>)</t>
    </r>
    <r>
      <rPr>
        <sz val="11"/>
        <rFont val="Arial"/>
        <family val="2"/>
      </rPr>
      <t xml:space="preserve">
</t>
    </r>
    <r>
      <rPr>
        <sz val="9"/>
        <rFont val="Arial"/>
        <family val="2"/>
      </rPr>
      <t>(Angabe als ganze Zahl)</t>
    </r>
  </si>
  <si>
    <r>
      <t>Durchschnittl. Lohnstunden je Kalendertag [h/KT]*</t>
    </r>
    <r>
      <rPr>
        <vertAlign val="superscript"/>
        <sz val="11"/>
        <rFont val="Arial"/>
        <family val="2"/>
      </rPr>
      <t>)</t>
    </r>
    <r>
      <rPr>
        <sz val="11"/>
        <rFont val="Arial"/>
        <family val="2"/>
      </rPr>
      <t xml:space="preserve">
</t>
    </r>
    <r>
      <rPr>
        <sz val="9"/>
        <rFont val="Arial"/>
        <family val="2"/>
      </rPr>
      <t>(Ermittlung auf eine Nachkommastelle gerundet)</t>
    </r>
  </si>
  <si>
    <r>
      <t xml:space="preserve">Betonierdauer
Festzeit KT
</t>
    </r>
    <r>
      <rPr>
        <sz val="10"/>
        <color theme="1"/>
        <rFont val="Arial"/>
        <family val="2"/>
      </rPr>
      <t>(Angabe als ganze Zahl)</t>
    </r>
  </si>
  <si>
    <r>
      <t xml:space="preserve">Kalendertage
</t>
    </r>
    <r>
      <rPr>
        <sz val="9"/>
        <color theme="1"/>
        <rFont val="Arial"/>
        <family val="2"/>
      </rPr>
      <t>(Angabe als ganze Zahl)</t>
    </r>
  </si>
  <si>
    <t>Sonst. TL Vortrieb</t>
  </si>
  <si>
    <t>• Umbauarbeiten z. B. für Beleuchtung, Belüftung, Sicherheitseinrichtungen, …</t>
  </si>
  <si>
    <r>
      <t xml:space="preserve">Summe h/lfdm.
</t>
    </r>
    <r>
      <rPr>
        <sz val="8"/>
        <color theme="1"/>
        <rFont val="Arial"/>
        <family val="2"/>
      </rPr>
      <t>(Ermittlung auf zwei Nachkommastellen gerundet)</t>
    </r>
  </si>
  <si>
    <t>Vortriebsdauer Strosse/Sohle Hauptröhre [KT]</t>
  </si>
  <si>
    <t>Summe Vortriebsdauer Sohle Rettungsstollen 1 RQ [KT]</t>
  </si>
  <si>
    <t>Summe Vortriebsdauer Sohle Rettungsstollen 1 AW [KT]</t>
  </si>
  <si>
    <t>Summe Vortriebsdauer Sohle Rettungsstollen 2 RQ+AW [KT]</t>
  </si>
  <si>
    <t>Summe Vortriebsdauer Strosse, Sohle Luftbogenstrecke [KT]</t>
  </si>
  <si>
    <t>Bei allen Leistungsangaben sind folgende Umstände zu berücksichtigen und in den Lohnstunden- bzw. Leistungsansätzen einzurechnen (sofern sie nicht gesondert abgefragt werden):</t>
  </si>
  <si>
    <t>• Leistungsminderungen beim Betoniervorgang durch Übergänge jeder Art, Stirnschalungen, Auffüllen von Überprofil, Fugenausbildung, kürzere Blöcke, erforderliche Bewehrung (zus. Montageeisen, Hilfskonstruktionen etc.)</t>
  </si>
  <si>
    <t>• Erschwernisse durch den Parallelvortrieb der Rettungsstollen</t>
  </si>
  <si>
    <t>Hinweise zum Ausfüllen der Tabellenblätter:</t>
  </si>
  <si>
    <t>• Gewollte Leerbefüllungen sind mit der Eingabe von "0" vorzunehmen.</t>
  </si>
  <si>
    <t>• Identische Stützmittel in unterschiedlichen Vortriebsklassen sind mit denselben Lohnstunden je Einheit zu kalkulieren, im vorliegenden Excel sind entsprechende Verlinkungen angelegt. Die Stützmittel einer Vortriebsklasse können mit ihren Lohnstundenansätzen auch in anderen Vortriebsklassen eingesetzt werden.</t>
  </si>
  <si>
    <t>• Arbeiten zur Arbeitssicherheit</t>
  </si>
  <si>
    <t>• Arbeiten bzw. Zeiten, die infolge des vom AN gewählten individuellen Bauablaufes (zusätzlich) auf den kritischen Weg gelangen</t>
  </si>
  <si>
    <t>• Mehrausbruch</t>
  </si>
  <si>
    <t>Rüsten Haupttunnel, Ausbruch Kalotte, sprengen</t>
  </si>
  <si>
    <t>Rüsten Haupttunnel, Ausbruch Kalotte, mechan. Lösen</t>
  </si>
  <si>
    <t>Rüsten Haupttunnel, Ausbruch KSG, sprengen</t>
  </si>
  <si>
    <t>Rüsten Haupttunnel, Ausbruch KSG, mechan. Lösen</t>
  </si>
  <si>
    <t>Rüsten Haupttunnel, Ausbruch Strosse/Sohle, sprengen</t>
  </si>
  <si>
    <t>Rüsten Haupttunnel, Ausbruch Strosse/Sohle, mechan. Lösen</t>
  </si>
  <si>
    <t>Rüsten Rettungsstollen, Ausbruch Kalotte/Strosse, sprengen</t>
  </si>
  <si>
    <t>Rüsten Rettungsstollen, Ausbruch Kalotte/Strosse, mechan. Lösen</t>
  </si>
  <si>
    <t>Rüsten Rettungsstollen, Ausbruch Sohle, sprengen</t>
  </si>
  <si>
    <t>Rüsten Rettungsstollen, Ausbruch Sohle, mechan. Lösen</t>
  </si>
  <si>
    <t>Rüsten Haupttunnel, Spritzbeton/Bewehrung Kalotte</t>
  </si>
  <si>
    <t>Rüsten Haupttunnel, Spritzbeton/Bewehrung Strosse/Sohle</t>
  </si>
  <si>
    <t>Rüsten Rettungsstollen, Spritzbeton/Bewehrung Kalotte/Strosse</t>
  </si>
  <si>
    <t>Rüsten Rettungsstollen, Spritzbeton/Bewehrung Sohle</t>
  </si>
  <si>
    <t>Rüsten Haupttunnel, Ankern und Spießen  Strosse/Sohle</t>
  </si>
  <si>
    <t>Rüsten Rettungsstollen, Ankern und Spießen  Kalotte/Strosse</t>
  </si>
  <si>
    <t>Gesamt [h]</t>
  </si>
  <si>
    <t>-</t>
  </si>
  <si>
    <r>
      <t xml:space="preserve">Mobilisierung aller Gerätschaften [h]
</t>
    </r>
    <r>
      <rPr>
        <sz val="9"/>
        <color theme="1"/>
        <rFont val="Arial"/>
        <family val="2"/>
      </rPr>
      <t>(Angabe mit zwei Nachkomma-stellen)</t>
    </r>
  </si>
  <si>
    <r>
      <t xml:space="preserve">Scannen, Sonstige Vermessung [h]
</t>
    </r>
    <r>
      <rPr>
        <sz val="9"/>
        <color theme="1"/>
        <rFont val="Arial"/>
        <family val="2"/>
      </rPr>
      <t>(Angabe mit zwei Nachkomma-stellen)</t>
    </r>
  </si>
  <si>
    <r>
      <t xml:space="preserve">Bewettern
[h]
</t>
    </r>
    <r>
      <rPr>
        <sz val="9"/>
        <color theme="1"/>
        <rFont val="Arial"/>
        <family val="2"/>
      </rPr>
      <t>(Angabe mit zwei Nachkomma-stellen)</t>
    </r>
  </si>
  <si>
    <t>Rüsten Haupttunnel, Spritzbeton/Bewehrung KSG</t>
  </si>
  <si>
    <t>T 6</t>
  </si>
  <si>
    <t>Notizen zu Verknüpfungen</t>
  </si>
  <si>
    <t>von Anlage Axx-1.0a</t>
  </si>
  <si>
    <t>auch für weitere VKL s.u.</t>
  </si>
  <si>
    <t>Angebotstermine werden zu Vertragsterminen (Fortschreibung u.a. gem. tats. VKL-Verteilung)</t>
  </si>
  <si>
    <t>• Die gelb hinterlegten Felder sind mit Werten zu befüllen. Die jeweiligen Vorgaben zur Anzahl der Nachkommastellen sind zu beachten.</t>
  </si>
  <si>
    <t>Betonage Rettungsstollen 2:
Tunnellänge 50,55 m</t>
  </si>
  <si>
    <t>Betonage Rettungsstollen 1:
Tunnellänge 243,30 m</t>
  </si>
  <si>
    <t>Betonage Hauptröhre
bergm. Bauweise und Luftbogenstrecke
Tunnellänge 626 + 54 m</t>
  </si>
  <si>
    <t>Betonage Hauptröhre
offene Bauweise und Portale
Tunnellänge 70 m</t>
  </si>
  <si>
    <t xml:space="preserve">spätestens </t>
  </si>
  <si>
    <t xml:space="preserve">Fertigstellungstermin </t>
  </si>
  <si>
    <t>Zwischentermine</t>
  </si>
  <si>
    <t>Summe Vortriebsdauer, Kalotte Hauptröhre [KT]</t>
  </si>
  <si>
    <t>Summe Lohnstunden Soll, Vortrieb Kalotte Hauptröhre</t>
  </si>
  <si>
    <t>Summe Lohnstunden Soll, sonstige Teilleistungen Vortrieb Kalotte Hauptröhre</t>
  </si>
  <si>
    <t>SN-Anker l = 6,0 m</t>
  </si>
  <si>
    <t>Durchschnittliche Lohnstunden je Kalendertag [h/KT]
gem. Unterlage 01.03-1.0</t>
  </si>
  <si>
    <t>Summe Lohnstunden Soll, sonstige Teilleistungen Vortrieb Kalotte Hauptröhre gem. Unterlage 01.03-1.3</t>
  </si>
  <si>
    <t>Summe Lohnstunden Soll, Strosse/Sohle Hauptröhre gem. Unterlage 01.03-1.5</t>
  </si>
  <si>
    <t>Vortriebsdauer Kalotte Hauptröhre (inkl. Sonstige Teilleistungen)
gem. Unterlage 01.03-1.1</t>
  </si>
  <si>
    <t>Vortriebsdauer Strosse/Sohle Hauptröhre
gem. Unterlage 01.03-1.4</t>
  </si>
  <si>
    <t>Summe Lohnstunden Soll, Kalotte/Strosse Rettungsstollen 2 RQ+AW gem. Unterlage 01.03-2.2</t>
  </si>
  <si>
    <t>Summe Lohnstunden Soll, Kalotte/Strosse Rettungsstollen 1 RQ gem. Unterlage 01.03-2.2</t>
  </si>
  <si>
    <t>Summe Lohnstunden Soll, Kalotte/Strosse Rettungsstollen 1 AW gem. Unterlage 01.03-2.2</t>
  </si>
  <si>
    <t>Summe Lohnstunden Soll, Sohle Rettungsstollen 1 RQ gem. Unterlage 01.03-2.4</t>
  </si>
  <si>
    <t>Summe Lohnstunden Soll, Sohle Rettungsstollen 1 AW gem. Unterlage 01.03-2.4</t>
  </si>
  <si>
    <t>Summe Lohnstunden Soll, Sohle Rettungsstollen 2 RQ+AW gem. Unterlage 01.03-2.4</t>
  </si>
  <si>
    <t>Vortriebsdauer Kalotte/Strosse Rettungsstollen 1 AW
gem. Unterlage 01.03-2.1</t>
  </si>
  <si>
    <t>Vortriebsdauer Sohle Rettungsstollen 1 AW
gem. Unterlage 01.03-2.3</t>
  </si>
  <si>
    <t>Vortriebsdauer Kalotte/Strosse Rettungsstollen 2 RQ+AW
gem. Unterlage 01.03-2.1</t>
  </si>
  <si>
    <t>Vortriebsdauer Sohle Rettungsstollen 2 RQ+AW
gem. Unterlage 01.03-2.3</t>
  </si>
  <si>
    <t>Vortriebsdauer Kalotte/Strosse Rettungsstollen 1 RQ
gem. Unterlage 01.03-2.1</t>
  </si>
  <si>
    <t>Vortriebsdauer Sohle Rettungsstollen 1 RQ
gem. Unterlage 01.03-2.3</t>
  </si>
  <si>
    <t>Summe Lohnstunden Soll, Strosse, Sohle Luftbogenstrecke gem. Unterlage 01.03-3.2</t>
  </si>
  <si>
    <t>Vortriebsdauer Strosse, Sohle Luftbogenstrecke 
gem. Unterlage 01.03-3.1</t>
  </si>
  <si>
    <t>aus Unterlage 01.03-4.1</t>
  </si>
  <si>
    <t>01.03-1.6</t>
  </si>
  <si>
    <t>01.03-3.3</t>
  </si>
  <si>
    <t>01.03-5</t>
  </si>
  <si>
    <t>aus Unterlage</t>
  </si>
  <si>
    <t>Σ Lohnstunden pro m
gem. Unterlage 01.03-1.2</t>
  </si>
  <si>
    <t>Σ Lohnstunden ges.
gem. Unterlage 01.03-1.3</t>
  </si>
  <si>
    <t>Σ Lohnstunden pro m
gem. Unterlage 01.03-1.5</t>
  </si>
  <si>
    <t>Σ Lohnstunden pro m
gem. Unterlage 01.03-2.2</t>
  </si>
  <si>
    <t>Σ Lohnstunden pro m
gem. Unterlage 01.03-2.4</t>
  </si>
  <si>
    <t>Σ Lohnstunden pro m
gem. Unterlage 01.03-3.2</t>
  </si>
  <si>
    <t>Unterlage</t>
  </si>
  <si>
    <t>Zusatzzeit Beginn Rohrschirmstrecke</t>
  </si>
  <si>
    <t>Das Lohnstundenmodell gilt ausschließlich für die vertraglichen Leistungen. Für Nachtragsleistungen sind die ZGKs entsprechend nachzuweisen.</t>
  </si>
  <si>
    <r>
      <t xml:space="preserve">Ausbruch VKL 6A.1 HR, mit td+ü= 5cm; Abschlagslänge 1,70 m 
</t>
    </r>
    <r>
      <rPr>
        <b/>
        <sz val="9"/>
        <rFont val="Arial"/>
        <family val="2"/>
      </rPr>
      <t>Sprengen 100%</t>
    </r>
    <r>
      <rPr>
        <sz val="9"/>
        <rFont val="Arial"/>
        <family val="2"/>
      </rPr>
      <t xml:space="preserve">  </t>
    </r>
  </si>
  <si>
    <r>
      <t xml:space="preserve">Ausbruch VKL 7A.1 HR, mit td+ü=10cm; Abschlagslänge 1,30 m 
</t>
    </r>
    <r>
      <rPr>
        <b/>
        <sz val="9"/>
        <rFont val="Arial"/>
        <family val="2"/>
      </rPr>
      <t>Sprengen 31%</t>
    </r>
    <r>
      <rPr>
        <sz val="9"/>
        <rFont val="Arial"/>
        <family val="2"/>
      </rPr>
      <t xml:space="preserve">  *)</t>
    </r>
  </si>
  <si>
    <r>
      <t xml:space="preserve">Ausbruch VKL 7A.1 HR, mit td+ü=10cm; Abschlagslänge 1,30 m 
</t>
    </r>
    <r>
      <rPr>
        <b/>
        <sz val="9"/>
        <rFont val="Arial"/>
        <family val="2"/>
      </rPr>
      <t>Mechanisches Lösen 69%</t>
    </r>
    <r>
      <rPr>
        <sz val="9"/>
        <rFont val="Arial"/>
        <family val="2"/>
      </rPr>
      <t xml:space="preserve">  *)</t>
    </r>
  </si>
  <si>
    <r>
      <t xml:space="preserve">Ausbruch VKL 7A.1 HR, mit td+ü=5cm; Abschlagslänge 2,60 m 
</t>
    </r>
    <r>
      <rPr>
        <b/>
        <sz val="9"/>
        <rFont val="Arial"/>
        <family val="2"/>
      </rPr>
      <t>Sprengen 78%</t>
    </r>
    <r>
      <rPr>
        <sz val="9"/>
        <rFont val="Arial"/>
        <family val="2"/>
      </rPr>
      <t xml:space="preserve">  *)</t>
    </r>
  </si>
  <si>
    <r>
      <t xml:space="preserve">Ausbruch VKL 7A.1 HR, mit td+ü=5cm; Abschlagslänge 2,60 m 
</t>
    </r>
    <r>
      <rPr>
        <b/>
        <sz val="9"/>
        <rFont val="Arial"/>
        <family val="2"/>
      </rPr>
      <t>Mechanisches Lösen 22%</t>
    </r>
    <r>
      <rPr>
        <sz val="9"/>
        <rFont val="Arial"/>
        <family val="2"/>
      </rPr>
      <t xml:space="preserve">  *)</t>
    </r>
  </si>
  <si>
    <r>
      <t xml:space="preserve">Ausbruch VKL 7A.2 HR, mit td+ü=5cm; Abschlagslänge 2,00 m 
</t>
    </r>
    <r>
      <rPr>
        <b/>
        <sz val="9"/>
        <rFont val="Arial"/>
        <family val="2"/>
      </rPr>
      <t>Sprengen 49%  *)</t>
    </r>
  </si>
  <si>
    <r>
      <t xml:space="preserve">Ausbruch VKL 7A.2 HR, mit td+ü=5cm; Abschlagslänge 2,00 m 
</t>
    </r>
    <r>
      <rPr>
        <b/>
        <sz val="9"/>
        <rFont val="Arial"/>
        <family val="2"/>
      </rPr>
      <t>Mechanisches Lösen 51%  *)</t>
    </r>
  </si>
  <si>
    <t>• (Temporäre) Einrichtungen wie Baudrainage, auch im KSG</t>
  </si>
  <si>
    <t>• Erschwernisse durch das Nachtsprengverbot und Maßnahmen zu Lärm- und Erschütterungsschutz</t>
  </si>
  <si>
    <t>*) Anmerkung: Umrechnung der Rüstzeiten in Lohnstunden erfolgt in den Unterlagen 01.03-1.2, 1.5, 2.2, 2.4 und 3.2 mit 1/24 der Durchschnittl. Lohnstunden je Kalendertag [h/KT] basierend auf der Abfrage der Mannschaftsstärke je Vortriebsklasse in Unterlage 01.03-1.0.</t>
  </si>
  <si>
    <r>
      <t xml:space="preserve">Ausbruch VKL 7A.1 RS, mit td+ü=7cm; Abschlagslänge 1,00 m 
</t>
    </r>
    <r>
      <rPr>
        <b/>
        <sz val="9"/>
        <rFont val="Arial"/>
        <family val="2"/>
      </rPr>
      <t>Sprengen 65%</t>
    </r>
    <r>
      <rPr>
        <sz val="9"/>
        <rFont val="Arial"/>
        <family val="2"/>
      </rPr>
      <t xml:space="preserve">  *)</t>
    </r>
  </si>
  <si>
    <r>
      <t xml:space="preserve">Ausbruch VKL 7A.1 RS, mit td+ü=7cm; Abschlagslänge 1,00 m 
</t>
    </r>
    <r>
      <rPr>
        <b/>
        <sz val="9"/>
        <rFont val="Arial"/>
        <family val="2"/>
      </rPr>
      <t>Mechanisches Lösen 35%</t>
    </r>
    <r>
      <rPr>
        <sz val="9"/>
        <rFont val="Arial"/>
        <family val="2"/>
      </rPr>
      <t xml:space="preserve">  *)</t>
    </r>
  </si>
  <si>
    <r>
      <t xml:space="preserve">Ausbruch VKL 6A.1 AW, mit td+ü= 5cm; Abschlagslänge 1,30 m 
</t>
    </r>
    <r>
      <rPr>
        <b/>
        <sz val="9"/>
        <rFont val="Arial"/>
        <family val="2"/>
      </rPr>
      <t>Sprengen 82%</t>
    </r>
    <r>
      <rPr>
        <sz val="9"/>
        <rFont val="Arial"/>
        <family val="2"/>
      </rPr>
      <t xml:space="preserve">  *)</t>
    </r>
  </si>
  <si>
    <r>
      <t>Ausbruch VKL 6A.1 AW, mit td+ü= 5cm; Abschlagslänge 1,30 m 
M</t>
    </r>
    <r>
      <rPr>
        <b/>
        <sz val="9"/>
        <rFont val="Arial"/>
        <family val="2"/>
      </rPr>
      <t>echanisches Lösen 18%</t>
    </r>
    <r>
      <rPr>
        <sz val="9"/>
        <rFont val="Arial"/>
        <family val="2"/>
      </rPr>
      <t xml:space="preserve">  *)</t>
    </r>
  </si>
  <si>
    <r>
      <t xml:space="preserve">Ausbruch VKL 6A.1 RS, mit td+ü= 5cm; Abschlagslänge 1,30 m 
</t>
    </r>
    <r>
      <rPr>
        <b/>
        <sz val="9"/>
        <rFont val="Arial"/>
        <family val="2"/>
      </rPr>
      <t>Sprengen 66%</t>
    </r>
    <r>
      <rPr>
        <sz val="9"/>
        <rFont val="Arial"/>
        <family val="2"/>
      </rPr>
      <t xml:space="preserve">  *)</t>
    </r>
  </si>
  <si>
    <r>
      <t xml:space="preserve">Ausbruch VKL 6A.1 RS, mit td+ü= 5cm; Abschlagslänge 1,30 m 
</t>
    </r>
    <r>
      <rPr>
        <b/>
        <sz val="9"/>
        <rFont val="Arial"/>
        <family val="2"/>
      </rPr>
      <t>Mechanisches Lösen 34%</t>
    </r>
    <r>
      <rPr>
        <sz val="9"/>
        <rFont val="Arial"/>
        <family val="2"/>
      </rPr>
      <t xml:space="preserve">  *)</t>
    </r>
  </si>
  <si>
    <r>
      <t xml:space="preserve">Ausbruch VKL 7A.1 RS, mit td+ü=3cm; Abschlagslänge 2,00 m 
</t>
    </r>
    <r>
      <rPr>
        <b/>
        <sz val="9"/>
        <rFont val="Arial"/>
        <family val="2"/>
      </rPr>
      <t>Sprengen 78%</t>
    </r>
    <r>
      <rPr>
        <sz val="9"/>
        <rFont val="Arial"/>
        <family val="2"/>
      </rPr>
      <t xml:space="preserve">  *)</t>
    </r>
  </si>
  <si>
    <r>
      <t xml:space="preserve">Ausbruch VKL 7A.1 RS, mit td+ü=3cm; Abschlagslänge 2,00 m 
</t>
    </r>
    <r>
      <rPr>
        <b/>
        <sz val="9"/>
        <rFont val="Arial"/>
        <family val="2"/>
      </rPr>
      <t>Mechanisches Lösen 22%</t>
    </r>
    <r>
      <rPr>
        <sz val="9"/>
        <rFont val="Arial"/>
        <family val="2"/>
      </rPr>
      <t xml:space="preserve">  *)</t>
    </r>
  </si>
  <si>
    <r>
      <t xml:space="preserve">Menge pro lfdm.
</t>
    </r>
    <r>
      <rPr>
        <sz val="7.8"/>
        <rFont val="Arial"/>
        <family val="2"/>
      </rPr>
      <t>(Durchschnitts-wert)</t>
    </r>
  </si>
  <si>
    <r>
      <t xml:space="preserve">Ausbruch VKL 6A.1 LB, mit td+ü= 3cm; Abschlagslänge 2,00 m 
</t>
    </r>
    <r>
      <rPr>
        <b/>
        <sz val="9"/>
        <rFont val="Arial"/>
        <family val="2"/>
      </rPr>
      <t>Sprengen 80%</t>
    </r>
    <r>
      <rPr>
        <sz val="9"/>
        <rFont val="Arial"/>
        <family val="2"/>
      </rPr>
      <t xml:space="preserve">  *)</t>
    </r>
  </si>
  <si>
    <r>
      <t xml:space="preserve">Ausbruch VKL 6A.1 LB, mit td+ü= 3cm; Abschlagslänge 2,00 m 
</t>
    </r>
    <r>
      <rPr>
        <b/>
        <sz val="9"/>
        <rFont val="Arial"/>
        <family val="2"/>
      </rPr>
      <t>Mechanisches Lösen 20%</t>
    </r>
    <r>
      <rPr>
        <sz val="9"/>
        <rFont val="Arial"/>
        <family val="2"/>
      </rPr>
      <t xml:space="preserve">  *)</t>
    </r>
  </si>
  <si>
    <t>Bewehrung Kalottensohle bergseitig Q 335 A</t>
  </si>
  <si>
    <t>Bewehrung Kalottensohle luftseitig Q 335 A</t>
  </si>
  <si>
    <t>Bewehrung Strosse/Sohle bergseitig Q 335 A</t>
  </si>
  <si>
    <t>Bewehrung Strosse/Sohle luftseitig Q 335 A</t>
  </si>
  <si>
    <r>
      <t xml:space="preserve">Ausbruch VKL 7A.3 HR, mit td+ü=5cm; Abschlagslänge 2,00 m 
</t>
    </r>
    <r>
      <rPr>
        <b/>
        <sz val="9"/>
        <rFont val="Arial"/>
        <family val="2"/>
      </rPr>
      <t>Sprengen 77%</t>
    </r>
    <r>
      <rPr>
        <sz val="9"/>
        <rFont val="Arial"/>
        <family val="2"/>
      </rPr>
      <t xml:space="preserve">  *)</t>
    </r>
  </si>
  <si>
    <r>
      <t xml:space="preserve">Ausbruch VKL 7A.3 HR, mit td+ü=5cm; Abschlagslänge 2,00 m 
</t>
    </r>
    <r>
      <rPr>
        <b/>
        <sz val="9"/>
        <rFont val="Arial"/>
        <family val="2"/>
      </rPr>
      <t>Mechanisches Lösen 23%</t>
    </r>
    <r>
      <rPr>
        <sz val="9"/>
        <rFont val="Arial"/>
        <family val="2"/>
      </rPr>
      <t xml:space="preserve">  *)</t>
    </r>
  </si>
  <si>
    <r>
      <t xml:space="preserve">Ausbruch VKL 7A.3 HR, mit td+ü=10cm; Abschlagslänge 1,00 m 
Sprengen </t>
    </r>
    <r>
      <rPr>
        <b/>
        <sz val="9"/>
        <rFont val="Arial"/>
        <family val="2"/>
      </rPr>
      <t>60%</t>
    </r>
    <r>
      <rPr>
        <sz val="9"/>
        <rFont val="Arial"/>
        <family val="2"/>
      </rPr>
      <t xml:space="preserve">  *)</t>
    </r>
  </si>
  <si>
    <r>
      <t xml:space="preserve">Ausbruch VKL 7A.3 HR, mit td+ü=10cm; Abschlagslänge 1,00 m 
Mechanisches Lösen </t>
    </r>
    <r>
      <rPr>
        <b/>
        <sz val="9"/>
        <rFont val="Arial"/>
        <family val="2"/>
      </rPr>
      <t>40%</t>
    </r>
    <r>
      <rPr>
        <sz val="9"/>
        <rFont val="Arial"/>
        <family val="2"/>
      </rPr>
      <t xml:space="preserve">  *)</t>
    </r>
  </si>
  <si>
    <t>Bewehrungsanschluss KSG</t>
  </si>
  <si>
    <t>Gebirgsanker nachträglich einbauen</t>
  </si>
  <si>
    <r>
      <t xml:space="preserve">Ausbruch VKL Kalottensohle 7A.1 HR; 
Abschlagslänge 2,6 m
</t>
    </r>
    <r>
      <rPr>
        <b/>
        <sz val="9"/>
        <rFont val="Arial"/>
        <family val="2"/>
      </rPr>
      <t>Mechanisches Lösen 100%</t>
    </r>
  </si>
  <si>
    <r>
      <t xml:space="preserve">VKL-
Verteilung (m)
</t>
    </r>
    <r>
      <rPr>
        <sz val="9"/>
        <rFont val="Arial"/>
        <family val="2"/>
      </rPr>
      <t>(Auf eine Nachkomma-stelle gerundet)</t>
    </r>
  </si>
  <si>
    <t>Termine die vom Bieter anzugeben sind (keine Formel hinterlegt)</t>
  </si>
  <si>
    <t>T 7</t>
  </si>
  <si>
    <t>Fertigstellung des bergmännischen Vortriebs Haupttunnel und Rettungsstollen (inkl. Sohle Luftbogenstrecke)</t>
  </si>
  <si>
    <t>Gesamtbauzeit</t>
  </si>
  <si>
    <t>6A.2 HR Kalotte</t>
  </si>
  <si>
    <t>6A.1 HR Kalotte</t>
  </si>
  <si>
    <t>6A.2 HR Kalottensohle</t>
  </si>
  <si>
    <t>7A.1 HR Kalotte</t>
  </si>
  <si>
    <t>7A.1 HR Kalottensohle</t>
  </si>
  <si>
    <t>7A.2 HR Kalotte</t>
  </si>
  <si>
    <t>7A.2 HR Kalottensohle</t>
  </si>
  <si>
    <t>7A.3 HR Kalotte</t>
  </si>
  <si>
    <t>7A.3 HR Kalottensohle</t>
  </si>
  <si>
    <t>Summe Lohnstunden Soll, Kalotte (inkl. Kalottensohle) Hauptröhre gem. Unterlage 01.03-1.2</t>
  </si>
  <si>
    <t>6A.1 HR
StrSo ohne KSG</t>
  </si>
  <si>
    <t>6A.2 HR
StrSo ohne KSG</t>
  </si>
  <si>
    <t>7A.1 HR
StrSo ohne KSG</t>
  </si>
  <si>
    <t>7A.2 HR
StrSo ohne KSG</t>
  </si>
  <si>
    <t>6A.2 HR
StrSo mit KSG</t>
  </si>
  <si>
    <t>7A.1 HR
StrSo mit KSG</t>
  </si>
  <si>
    <t>7A.2 HR
StrSo mit KSG</t>
  </si>
  <si>
    <t>7A.3 HR
StrSo mit KSG</t>
  </si>
  <si>
    <t>Fertigstellung Betriebsgebäude und Rettungsplatz</t>
  </si>
  <si>
    <t>Fertigstellung aller Leistungen / vollständige Baustellenräumung</t>
  </si>
  <si>
    <t>Fertigstellung Betonarbeiten (Innenschale, Offene Bauweisen, Portale)</t>
  </si>
  <si>
    <t>Ausfahrvorgang HT</t>
  </si>
  <si>
    <t>Anschlagvorgang HT</t>
  </si>
  <si>
    <t>• Behinderungen durch Vermessungsarbeiten inkl. Tunnelscan, geotechnische Messungen und geologische Dokumentation</t>
  </si>
  <si>
    <t>• Erschwernisse und Behinderungen bei Tunneldurchschlägen (soweit nicht gesondert abgefragt, also insbesondere bei den nicht auf dem kritischen Weg liegenden Teilen RS1 und RS2)</t>
  </si>
  <si>
    <t>Anschlag Rettungsstollen aus dem Haupttunnel</t>
  </si>
  <si>
    <t>Rüstarbeiten (kritische Bauzeit)</t>
  </si>
  <si>
    <r>
      <t xml:space="preserve">Geologische und Hydrogeo-logische Dokumentation
</t>
    </r>
    <r>
      <rPr>
        <sz val="9"/>
        <color theme="1"/>
        <rFont val="Arial"/>
        <family val="2"/>
      </rPr>
      <t>(Durchschnittswert)</t>
    </r>
    <r>
      <rPr>
        <sz val="11"/>
        <color theme="1"/>
        <rFont val="Arial"/>
        <family val="2"/>
      </rPr>
      <t xml:space="preserve"> [h] </t>
    </r>
  </si>
  <si>
    <t>Rüstzeiten Ausbruch</t>
  </si>
  <si>
    <t>Rüstzeiten Spritzbeton/Bewehrung</t>
  </si>
  <si>
    <t>Rüstzeiten Ankern und Spießen</t>
  </si>
  <si>
    <r>
      <t xml:space="preserve">Sonstiges **) [h]
</t>
    </r>
    <r>
      <rPr>
        <sz val="9"/>
        <color theme="1"/>
        <rFont val="Arial"/>
        <family val="2"/>
      </rPr>
      <t>(Angabe mit zwei Nachkomma-stellen)</t>
    </r>
  </si>
  <si>
    <t>**) Erläuterung Sonstiges</t>
  </si>
  <si>
    <r>
      <t xml:space="preserve">VKL-
Verteilung (m) *)
</t>
    </r>
    <r>
      <rPr>
        <sz val="9"/>
        <rFont val="Arial"/>
        <family val="2"/>
      </rPr>
      <t>(Auf eine Nachkomma-stelle gerundet)</t>
    </r>
  </si>
  <si>
    <t>*) prognostizierte Vortriebsklassenverteilung, Fortschreibung nach tatsächlicher Vortriebsklassenverteilung</t>
  </si>
  <si>
    <r>
      <t xml:space="preserve">Vortriebsdauer Hauptröhre SOLL
</t>
    </r>
    <r>
      <rPr>
        <sz val="10"/>
        <rFont val="Arial"/>
        <family val="2"/>
      </rPr>
      <t xml:space="preserve">
</t>
    </r>
    <r>
      <rPr>
        <sz val="11"/>
        <rFont val="Arial"/>
        <family val="2"/>
      </rPr>
      <t xml:space="preserve">(betrifft OZ </t>
    </r>
    <r>
      <rPr>
        <b/>
        <sz val="11"/>
        <rFont val="Arial"/>
        <family val="2"/>
      </rPr>
      <t>02.01.0040</t>
    </r>
    <r>
      <rPr>
        <sz val="11"/>
        <rFont val="Arial"/>
        <family val="2"/>
      </rPr>
      <t xml:space="preserve"> ZGK spezielle Tunnelarbeiten (Zul.))
(zählt zu Teilbauzeit 2 - OZ 02.01.0020 Allgemeine ZGK, variable Teilzeiten Vortr. - Bet.Ende)</t>
    </r>
  </si>
  <si>
    <r>
      <t xml:space="preserve">Vortriebsdauer Rettungsstollen 1 RQ
</t>
    </r>
    <r>
      <rPr>
        <sz val="11"/>
        <color theme="1"/>
        <rFont val="Arial"/>
        <family val="2"/>
      </rPr>
      <t xml:space="preserve">(betrifft OZ </t>
    </r>
    <r>
      <rPr>
        <b/>
        <sz val="11"/>
        <color theme="1"/>
        <rFont val="Arial"/>
        <family val="2"/>
      </rPr>
      <t>02.01.0050</t>
    </r>
    <r>
      <rPr>
        <sz val="11"/>
        <color theme="1"/>
        <rFont val="Arial"/>
        <family val="2"/>
      </rPr>
      <t xml:space="preserve"> ZGK spezielle Tunnelarbeiten (Zul.))</t>
    </r>
  </si>
  <si>
    <r>
      <t xml:space="preserve">Vortriebsdauer Rettungsstollen 1 AW
</t>
    </r>
    <r>
      <rPr>
        <sz val="11"/>
        <color theme="1"/>
        <rFont val="Arial"/>
        <family val="2"/>
      </rPr>
      <t xml:space="preserve">(betrifft OZ </t>
    </r>
    <r>
      <rPr>
        <b/>
        <sz val="11"/>
        <color theme="1"/>
        <rFont val="Arial"/>
        <family val="2"/>
      </rPr>
      <t>02.01.0060</t>
    </r>
    <r>
      <rPr>
        <sz val="11"/>
        <color theme="1"/>
        <rFont val="Arial"/>
        <family val="2"/>
      </rPr>
      <t xml:space="preserve"> ZGK spezielle Tunnelarbeiten (Zul.))</t>
    </r>
  </si>
  <si>
    <r>
      <t xml:space="preserve">Vortriebsdauer Rettungsstollen 2 RQ+AW
</t>
    </r>
    <r>
      <rPr>
        <sz val="11"/>
        <color theme="1"/>
        <rFont val="Arial"/>
        <family val="2"/>
      </rPr>
      <t xml:space="preserve">(betrifft OZ </t>
    </r>
    <r>
      <rPr>
        <b/>
        <sz val="11"/>
        <color theme="1"/>
        <rFont val="Arial"/>
        <family val="2"/>
      </rPr>
      <t>02.01.0070</t>
    </r>
    <r>
      <rPr>
        <sz val="11"/>
        <color theme="1"/>
        <rFont val="Arial"/>
        <family val="2"/>
      </rPr>
      <t xml:space="preserve"> ZGK spezielle Tunnelarbeiten (Zul.))</t>
    </r>
  </si>
  <si>
    <r>
      <t xml:space="preserve">Vortriebsdauer Luftbogenstrecke SOLL
</t>
    </r>
    <r>
      <rPr>
        <sz val="11"/>
        <rFont val="Arial"/>
        <family val="2"/>
      </rPr>
      <t xml:space="preserve">(betrifft OZ </t>
    </r>
    <r>
      <rPr>
        <b/>
        <sz val="11"/>
        <rFont val="Arial"/>
        <family val="2"/>
      </rPr>
      <t>02.01.0080</t>
    </r>
    <r>
      <rPr>
        <sz val="11"/>
        <rFont val="Arial"/>
        <family val="2"/>
      </rPr>
      <t xml:space="preserve"> ZGK spezielle Tunnelarbeiten (Zul.))</t>
    </r>
    <r>
      <rPr>
        <b/>
        <sz val="11"/>
        <rFont val="Arial"/>
        <family val="2"/>
      </rPr>
      <t xml:space="preserve">
</t>
    </r>
    <r>
      <rPr>
        <sz val="11"/>
        <rFont val="Arial"/>
        <family val="2"/>
      </rPr>
      <t>(zählt zu Teilbauzeit 2 - OZ 02.01.0020 Allgemeine ZGK, variable Teilzeiten Vortr. - Bet.Ende)</t>
    </r>
  </si>
  <si>
    <r>
      <t xml:space="preserve">Vortriebsdauer Hauptröhre
</t>
    </r>
    <r>
      <rPr>
        <sz val="11"/>
        <color theme="1"/>
        <rFont val="Arial"/>
        <family val="2"/>
      </rPr>
      <t xml:space="preserve">(betrifft OZ </t>
    </r>
    <r>
      <rPr>
        <b/>
        <sz val="11"/>
        <color theme="1"/>
        <rFont val="Arial"/>
        <family val="2"/>
      </rPr>
      <t>02.01.0040</t>
    </r>
    <r>
      <rPr>
        <sz val="11"/>
        <color theme="1"/>
        <rFont val="Arial"/>
        <family val="2"/>
      </rPr>
      <t xml:space="preserve"> ZGK spezielle Tunnelarbeiten (Zul.))</t>
    </r>
  </si>
  <si>
    <r>
      <t xml:space="preserve">Vortriebsdauer Str/So Luftbogenstrecke
</t>
    </r>
    <r>
      <rPr>
        <sz val="11"/>
        <color theme="1"/>
        <rFont val="Arial"/>
        <family val="2"/>
      </rPr>
      <t xml:space="preserve">(betrifft OZ </t>
    </r>
    <r>
      <rPr>
        <b/>
        <sz val="11"/>
        <color theme="1"/>
        <rFont val="Arial"/>
        <family val="2"/>
      </rPr>
      <t>02.01.0080</t>
    </r>
    <r>
      <rPr>
        <sz val="11"/>
        <color theme="1"/>
        <rFont val="Arial"/>
        <family val="2"/>
      </rPr>
      <t xml:space="preserve"> ZGK spezielle Tunnelarbeiten (Zul.))</t>
    </r>
  </si>
  <si>
    <r>
      <t xml:space="preserve">Teilbauzeit 2
</t>
    </r>
    <r>
      <rPr>
        <sz val="11"/>
        <color theme="1"/>
        <rFont val="Arial"/>
        <family val="2"/>
      </rPr>
      <t xml:space="preserve">(betrifft OZ </t>
    </r>
    <r>
      <rPr>
        <b/>
        <sz val="11"/>
        <color theme="1"/>
        <rFont val="Arial"/>
        <family val="2"/>
      </rPr>
      <t>02.01.0020</t>
    </r>
    <r>
      <rPr>
        <sz val="11"/>
        <color theme="1"/>
        <rFont val="Arial"/>
        <family val="2"/>
      </rPr>
      <t xml:space="preserve"> Allgemeine ZGK, variable Teilzeiten Vortr. - Bet.Ende)</t>
    </r>
  </si>
  <si>
    <r>
      <t xml:space="preserve">Gesamtbetonierzeit Hauptröhre
</t>
    </r>
    <r>
      <rPr>
        <sz val="11"/>
        <color theme="1"/>
        <rFont val="Arial"/>
        <family val="2"/>
      </rPr>
      <t xml:space="preserve">(betrifft OZ </t>
    </r>
    <r>
      <rPr>
        <b/>
        <sz val="11"/>
        <color theme="1"/>
        <rFont val="Arial"/>
        <family val="2"/>
      </rPr>
      <t>02.01.0090</t>
    </r>
    <r>
      <rPr>
        <sz val="11"/>
        <color theme="1"/>
        <rFont val="Arial"/>
        <family val="2"/>
      </rPr>
      <t xml:space="preserve"> ZGK für Betonierarbeiten (Zul.))</t>
    </r>
  </si>
  <si>
    <r>
      <t xml:space="preserve">Gesamtbetonierzeit Hauptröhre
</t>
    </r>
    <r>
      <rPr>
        <sz val="11"/>
        <rFont val="Arial"/>
        <family val="2"/>
      </rPr>
      <t xml:space="preserve">(betrifft OZ </t>
    </r>
    <r>
      <rPr>
        <b/>
        <sz val="11"/>
        <rFont val="Arial"/>
        <family val="2"/>
      </rPr>
      <t>02.01.0090</t>
    </r>
    <r>
      <rPr>
        <sz val="11"/>
        <rFont val="Arial"/>
        <family val="2"/>
      </rPr>
      <t xml:space="preserve"> ZGK für Betonierarbeiten (Zul.))</t>
    </r>
    <r>
      <rPr>
        <b/>
        <sz val="11"/>
        <rFont val="Arial"/>
        <family val="2"/>
      </rPr>
      <t xml:space="preserve">
</t>
    </r>
    <r>
      <rPr>
        <sz val="11"/>
        <rFont val="Arial"/>
        <family val="2"/>
      </rPr>
      <t>(zählt zu Teilbauzeit 2 - OZ 02.01.0020 Allgemeine ZGK, variable Teilzeiten Vortr. - Bet.Ende)</t>
    </r>
  </si>
  <si>
    <r>
      <t xml:space="preserve">Betonierzeit Rettungsstollen 1
</t>
    </r>
    <r>
      <rPr>
        <sz val="11"/>
        <rFont val="Arial"/>
        <family val="2"/>
      </rPr>
      <t xml:space="preserve">(betrifft OZ </t>
    </r>
    <r>
      <rPr>
        <b/>
        <sz val="11"/>
        <rFont val="Arial"/>
        <family val="2"/>
      </rPr>
      <t>02.01.0100</t>
    </r>
    <r>
      <rPr>
        <sz val="11"/>
        <rFont val="Arial"/>
        <family val="2"/>
      </rPr>
      <t xml:space="preserve"> ZGK für Betonierarbeiten (Zul.))</t>
    </r>
  </si>
  <si>
    <r>
      <t xml:space="preserve">Betonierzeit Rettungsstollen 2
</t>
    </r>
    <r>
      <rPr>
        <sz val="11"/>
        <rFont val="Arial"/>
        <family val="2"/>
      </rPr>
      <t xml:space="preserve">(betrifft OZ </t>
    </r>
    <r>
      <rPr>
        <b/>
        <sz val="11"/>
        <rFont val="Arial"/>
        <family val="2"/>
      </rPr>
      <t xml:space="preserve">02.01.0110 </t>
    </r>
    <r>
      <rPr>
        <sz val="11"/>
        <rFont val="Arial"/>
        <family val="2"/>
      </rPr>
      <t>ZGK für Betonierarbeiten (Zul.))</t>
    </r>
  </si>
  <si>
    <t>Rettungsstollen 2:
Zusätzlicher Zeitbedarf Betonage</t>
  </si>
  <si>
    <t>Rettungsstollen 1:
Zusätzlicher Zeitbedarf Betonage</t>
  </si>
  <si>
    <t>Hauptröhre
Zusätzlicher Zeitbedarf Betonage</t>
  </si>
  <si>
    <t>Durchschnittliche
Betonierleistung
m/KT</t>
  </si>
  <si>
    <t xml:space="preserve">30.01.0420. </t>
  </si>
  <si>
    <t xml:space="preserve">30.01.0410. </t>
  </si>
  <si>
    <t xml:space="preserve">30.01.0400. </t>
  </si>
  <si>
    <t xml:space="preserve">30.01.0430. </t>
  </si>
  <si>
    <t>30.01.0440.</t>
  </si>
  <si>
    <t>30.01.0010.</t>
  </si>
  <si>
    <t>30.01.0040.</t>
  </si>
  <si>
    <t>30.02.0300.</t>
  </si>
  <si>
    <t>30.14.0010.</t>
  </si>
  <si>
    <t>30.14.0020.</t>
  </si>
  <si>
    <t>30.01.0370.-0390.</t>
  </si>
  <si>
    <t>Bezug LV informativ
OZ</t>
  </si>
  <si>
    <r>
      <rPr>
        <b/>
        <sz val="9"/>
        <rFont val="Symbol"/>
        <family val="1"/>
        <charset val="2"/>
      </rPr>
      <t>S</t>
    </r>
    <r>
      <rPr>
        <b/>
        <sz val="9"/>
        <rFont val="Arial"/>
        <family val="2"/>
      </rPr>
      <t xml:space="preserve"> der Lohnstunden
</t>
    </r>
    <r>
      <rPr>
        <sz val="8"/>
        <rFont val="Arial"/>
        <family val="2"/>
      </rPr>
      <t>(gerundet auf zwei Nachkommastellen)</t>
    </r>
  </si>
  <si>
    <r>
      <t xml:space="preserve">Lohnstunden/Einheit
</t>
    </r>
    <r>
      <rPr>
        <sz val="8"/>
        <color theme="1"/>
        <rFont val="Arial"/>
        <family val="2"/>
      </rPr>
      <t>(Angabe mit zwei Nachkommastellen; Ausbr. b. Wasserandr. drei Nachkommastellen)</t>
    </r>
  </si>
  <si>
    <r>
      <t xml:space="preserve">Lohnstunden/Einheit **)
</t>
    </r>
    <r>
      <rPr>
        <sz val="8"/>
        <color theme="1"/>
        <rFont val="Arial"/>
        <family val="2"/>
      </rPr>
      <t>(Angabe mit zwei Nachkommastellen)</t>
    </r>
  </si>
  <si>
    <t>*) Anmerkung zu prozentualer Aufteilung Sprengen / mechanisch Lösen:
 Die Prozentangaben beziehen sich auf die gesamte Länge der Vortriebsklasse und beschreiben nicht eine Aufteilung innerhalb eines Abschlages.
**) Identische Stützmittel in unterschiedlichen Vortriebsklassen sind mit denselben Lohnstunden je Einheit zu kalkulieren, im vorliegenden Excel sind entsprechende Verlinkungen angelegt und die Stelle der Verlinkung genannt.</t>
  </si>
  <si>
    <t>*) Anmerkung zu prozentualer Aufteilung Sprengen / mechanisch Lösen:
 Die Prozentangaben beziehen sich auf die gesamte Länge der Vortriebsklasse und beschreiben nicht eine Aufteilung innerhalb eines Abschlages.
**)  Identische Stützmittel in unterschiedlichen Vortriebsklassen sind mit denselben Lohnstunden je Einheit zu kalkulieren, im vorliegenden Excel sind entsprechende Verlinkungen angelegt und die Stelle der Verlinkung genannt.</t>
  </si>
  <si>
    <t>T1</t>
  </si>
  <si>
    <t>Fixtermin</t>
  </si>
  <si>
    <t>Termin, der von der Vergabestelle vorgegeben wird</t>
  </si>
  <si>
    <t>T7</t>
  </si>
  <si>
    <t>T2</t>
  </si>
  <si>
    <t>T3</t>
  </si>
  <si>
    <t xml:space="preserve">variabler Termin </t>
  </si>
  <si>
    <r>
      <t xml:space="preserve">Termin, der anhand der vom Bieter angegebenen Zeiten und Lohnstunden auf der Basis der von der Vergabestelle prognostizierten Verteilung der Vortriebsklassen, der daraus resultierenden Stützmittel und der angegebenen Erschwernisse ermittelt wird:
  </t>
    </r>
    <r>
      <rPr>
        <i/>
        <sz val="11"/>
        <rFont val="Arial"/>
        <family val="2"/>
      </rPr>
      <t>T1 + Teilbauzeit 1 aus 4.2 + Teilbauzeit 2 aus 4.2</t>
    </r>
    <r>
      <rPr>
        <sz val="11"/>
        <rFont val="Arial"/>
        <family val="2"/>
      </rPr>
      <t xml:space="preserve">
Wird gemäß der anerkannten, tatsächlich ausgeführten Mengen Vortrieb fortgeschrieben, vgl. Abschnitt 3.2.5 und 3.2.6 Baubeschreibung.</t>
    </r>
  </si>
  <si>
    <r>
      <t xml:space="preserve">Termin, der anhand der vom Bieter angegebenen Zeiten und Lohnstunden auf der Basis der von der Vergabestelle prognostizierten Verteilung der Vortriebsklassen, der daraus resultierenden Stützmittel und der angegebenen Erschwernisse ermittelt wird:
</t>
    </r>
    <r>
      <rPr>
        <i/>
        <sz val="11"/>
        <rFont val="Arial"/>
        <family val="2"/>
      </rPr>
      <t xml:space="preserve">  T1 + Teilbauzeit 1 aus 4.2 + Vortriebsdauer Hauptröhre aus 4.1 +
  Vortriebsdauer Str/So Luftbogenstrecke aus 4.1</t>
    </r>
    <r>
      <rPr>
        <sz val="11"/>
        <rFont val="Arial"/>
        <family val="2"/>
      </rPr>
      <t xml:space="preserve">
Wird gemäß der anerkannten, tatsächlich ausgeführten Mengen Vortrieb fortgeschrieben, vgl. Abschnitt 3.2.5 und 3.2.6 Baubeschreibung.</t>
    </r>
  </si>
  <si>
    <r>
      <t xml:space="preserve">Termin der anhand der ermittelten Gesamtbauzeit als Fertigstellungszeitpunkt der Einzelleistungen und der Gesamtleistung ermittelt wird:
</t>
    </r>
    <r>
      <rPr>
        <i/>
        <sz val="11"/>
        <rFont val="Arial"/>
        <family val="2"/>
      </rPr>
      <t xml:space="preserve">  T1 + Gesamtbauzeit aus 4.2</t>
    </r>
    <r>
      <rPr>
        <sz val="11"/>
        <rFont val="Arial"/>
        <family val="2"/>
      </rPr>
      <t xml:space="preserve">
Wird gemäß der anerkannten, tatsächlich ausgeführten Mengen Vortrieb fortgeschrieben, vgl. Abschnitt 3.2.5 und 3.2.6 Baubeschreibung.</t>
    </r>
  </si>
  <si>
    <t>Angabe Rüstzeiten in Stunden ohne Umrechnung in Lohnstunden *)</t>
  </si>
  <si>
    <t>31.01.0030.+
   32.01.0020.</t>
  </si>
  <si>
    <t xml:space="preserve">30.01.0395. </t>
  </si>
  <si>
    <t>Bohrung unverrohrt 0 - 8 m</t>
  </si>
  <si>
    <t>Bohrung unverrohrt 8 - 16 m</t>
  </si>
  <si>
    <t>t</t>
  </si>
  <si>
    <t>Bewehrung Kalotte bergseitig Q 335 A</t>
  </si>
  <si>
    <t>Bewehrung Kalotte luftseitig Q 335 A</t>
  </si>
  <si>
    <t>Spritzbeton Rohrschirmaufweitung (Zwickel)</t>
  </si>
  <si>
    <t>Ausbruch Kalottenfuß</t>
  </si>
  <si>
    <r>
      <t xml:space="preserve">Zusätzlicher Zeitbedarf Vortrieb Hauptröhre (z. B. Einarbeitungszeiten, sonstige betriebsbedingte Abläufe oder eingeplante Unterbrechungen (z. B. für Wartungs- und Umbauarbeiten </t>
    </r>
    <r>
      <rPr>
        <sz val="11"/>
        <rFont val="Arial"/>
        <family val="2"/>
      </rPr>
      <t>oder Anschlagfeier, Barbarafeier, Durchschlagfeier</t>
    </r>
    <r>
      <rPr>
        <sz val="11"/>
        <color theme="1"/>
        <rFont val="Arial"/>
        <family val="2"/>
      </rPr>
      <t>), etc.)
(Nur positive Werte gerundet auf 0,5 KT)</t>
    </r>
  </si>
  <si>
    <r>
      <t xml:space="preserve">Zusätzlicher Zeitbedarf Vortrieb Rettungsstollen 1 RQ (z. B. Einarbeitungszeiten, sonstige betriebsbedingte Abläufe oder eingeplante Unterbrechungen (z. B. für Wartungs- und Umbauarbeiten </t>
    </r>
    <r>
      <rPr>
        <sz val="11"/>
        <rFont val="Arial"/>
        <family val="2"/>
      </rPr>
      <t>oder Anschlagfeier, Barbarafeier, Durchschlagfeier), etc.)</t>
    </r>
    <r>
      <rPr>
        <sz val="11"/>
        <color theme="1"/>
        <rFont val="Arial"/>
        <family val="2"/>
      </rPr>
      <t xml:space="preserve">
(Nur positive Werte gerundet auf 0,5 KT); Festzeit</t>
    </r>
  </si>
  <si>
    <r>
      <t>Zusätzlicher Zeitbedarf Vortrieb Rettungsstollen 1 AW (z. B. Einarbeitungszeiten, sonstige betriebsbedingte Abläufe oder eingeplante Unterbrechungen (z. B. für Wartungs- und Umbauarbeite</t>
    </r>
    <r>
      <rPr>
        <sz val="11"/>
        <rFont val="Arial"/>
        <family val="2"/>
      </rPr>
      <t>n oder Anschlagfeier, Barbarafeier, Durchschlagfeier</t>
    </r>
    <r>
      <rPr>
        <sz val="11"/>
        <color theme="1"/>
        <rFont val="Arial"/>
        <family val="2"/>
      </rPr>
      <t>), etc.)
(Nur positive Werte gerundet auf 0,5 KT); Festzeit</t>
    </r>
  </si>
  <si>
    <r>
      <t xml:space="preserve">Zusätzlicher Zeitbedarf Vortrieb Rettungsstollen 2 RQ + AW (z. B. Einarbeitungszeiten, sonstige betriebsbedingte Abläufe oder eingeplante Unterbrechungen (z. B. für Wartungs- und Umbauarbeiten </t>
    </r>
    <r>
      <rPr>
        <sz val="11"/>
        <rFont val="Arial"/>
        <family val="2"/>
      </rPr>
      <t>oder Anschlagfeier, Barbarafeier, Durchschlagfeier), etc.)</t>
    </r>
    <r>
      <rPr>
        <sz val="11"/>
        <color theme="1"/>
        <rFont val="Arial"/>
        <family val="2"/>
      </rPr>
      <t xml:space="preserve">
(Nur positive Werte gerundet auf 0,5 KT); Festzeit</t>
    </r>
  </si>
  <si>
    <t>Rüsten Haupttunnel, Ankern und Spießen Kalotte
(ggf. inkl. Rohrschirm)</t>
  </si>
  <si>
    <r>
      <t xml:space="preserve">Ausbruch VKL Kalottensohle 7A.2 HR; 
Abschlagslänge 2,0 m
</t>
    </r>
    <r>
      <rPr>
        <b/>
        <sz val="9"/>
        <rFont val="Arial"/>
        <family val="2"/>
      </rPr>
      <t>Mechanisches Lösen 100%</t>
    </r>
  </si>
  <si>
    <t>Zusätzlicher Zeitbedarf Vortrieb Strosse, Sohle Luftbogenstrecke (z. B. Einarbeitungszeiten, sonstige betriebsbedingte Abläufe oder eingeplante Unterbrechungen (z. B. für Wartungs- und Umbauarbeiten oder Anschlagfeier, Barbarafeier, Durchschlagfeier), etc.)
(Nur positive Werte gerundet auf 0,5 KT); Festzeit</t>
  </si>
  <si>
    <t>T 4.1</t>
  </si>
  <si>
    <t>Baufeldräumung West bis Zufahrt Rettungsplatz bei km 1+288 (Achse 1000W)</t>
  </si>
  <si>
    <t xml:space="preserve">T4.1, T4.2,  T5, T6 </t>
  </si>
  <si>
    <t>T 4.2</t>
  </si>
  <si>
    <t>Resträumung Voreinschnitt West</t>
  </si>
  <si>
    <t>HINWEIS: Die Herstellung des Luftbogens (Kalotte) ist kein Vortrieb und zählt somit nicht zur für die zeitgebundenen Kosten relevanten Vortriebsdauer.</t>
  </si>
  <si>
    <r>
      <t>Ausbruch VKL Kalottensohle 7A.3 HR; 
Abschlagslänge 2,0 m
Sprengen</t>
    </r>
    <r>
      <rPr>
        <b/>
        <sz val="9"/>
        <rFont val="Arial"/>
        <family val="2"/>
      </rPr>
      <t xml:space="preserve"> 60%</t>
    </r>
    <r>
      <rPr>
        <sz val="9"/>
        <rFont val="Arial"/>
        <family val="2"/>
      </rPr>
      <t xml:space="preserve">  *)</t>
    </r>
  </si>
  <si>
    <r>
      <t>Ausbruch VKL Kalottensohle 7A.3 HR; 
Abschlagslänge 2,0 m
Mechanisches Lösen 4</t>
    </r>
    <r>
      <rPr>
        <b/>
        <sz val="9"/>
        <rFont val="Arial"/>
        <family val="2"/>
      </rPr>
      <t>0%</t>
    </r>
    <r>
      <rPr>
        <sz val="9"/>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</si>
</sst>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0.00\ &quot;m&quot;"/>
    <numFmt numFmtId="166" formatCode="0.0"/>
    <numFmt numFmtId="167" formatCode="_-* #,##0.00\ [$€]_-;\-* #,##0.00\ [$€]_-;_-* &quot;-&quot;??\ [$€]_-;_-@_-"/>
    <numFmt numFmtId="168" formatCode="#,##0.0"/>
    <numFmt numFmtId="169" formatCode="#,##0.0\ &quot;m&quot;"/>
  </numFmts>
  <fonts count="27">
    <font>
      <sz val="11"/>
      <color theme="1"/>
      <name val="Arial"/>
      <family val="2"/>
    </font>
    <font>
      <sz val="10"/>
      <color theme="1"/>
      <name val="Arial"/>
      <family val="2"/>
    </font>
    <font>
      <sz val="9"/>
      <color theme="1"/>
      <name val="Arial"/>
      <family val="2"/>
    </font>
    <font>
      <b/>
      <sz val="9"/>
      <color theme="1"/>
      <name val="Arial"/>
      <family val="2"/>
    </font>
    <font>
      <b/>
      <sz val="9"/>
      <color theme="1"/>
      <name val="Symbol"/>
      <family val="1"/>
      <charset val="2"/>
    </font>
    <font>
      <b/>
      <sz val="11"/>
      <color theme="1"/>
      <name val="Arial"/>
      <family val="2"/>
    </font>
    <font>
      <sz val="11"/>
      <name val="Arial"/>
      <family val="2"/>
    </font>
    <font>
      <sz val="10"/>
      <name val="Arial"/>
      <family val="2"/>
    </font>
    <font>
      <b/>
      <sz val="9"/>
      <name val="Arial"/>
      <family val="2"/>
    </font>
    <font>
      <sz val="9"/>
      <name val="Arial"/>
      <family val="2"/>
    </font>
    <font>
      <b/>
      <sz val="11"/>
      <name val="Arial"/>
      <family val="2"/>
    </font>
    <font>
      <sz val="8"/>
      <name val="Arial"/>
      <family val="2"/>
    </font>
    <font>
      <b/>
      <sz val="9"/>
      <color theme="0" tint="-0.499984740745262"/>
      <name val="Arial"/>
      <family val="2"/>
    </font>
    <font>
      <sz val="9"/>
      <color theme="0" tint="-0.499984740745262"/>
      <name val="Arial"/>
      <family val="2"/>
    </font>
    <font>
      <sz val="11"/>
      <color theme="0" tint="-0.499984740745262"/>
      <name val="Arial"/>
      <family val="2"/>
    </font>
    <font>
      <b/>
      <sz val="11"/>
      <color theme="0" tint="-0.499984740745262"/>
      <name val="Arial"/>
      <family val="2"/>
    </font>
    <font>
      <b/>
      <sz val="9"/>
      <color theme="1"/>
      <name val="Arial"/>
      <family val="1"/>
      <charset val="2"/>
    </font>
    <font>
      <b/>
      <sz val="9"/>
      <name val="Symbol"/>
      <family val="1"/>
      <charset val="2"/>
    </font>
    <font>
      <sz val="11"/>
      <color rgb="FFFF0000"/>
      <name val="Arial"/>
      <family val="2"/>
    </font>
    <font>
      <sz val="9"/>
      <color rgb="FFFF0000"/>
      <name val="Arial"/>
      <family val="2"/>
    </font>
    <font>
      <b/>
      <sz val="10"/>
      <name val="Arial"/>
      <family val="2"/>
    </font>
    <font>
      <i/>
      <sz val="11"/>
      <name val="Arial"/>
      <family val="2"/>
    </font>
    <font>
      <sz val="11"/>
      <color theme="4" tint="-0.249977111117893"/>
      <name val="Arial"/>
      <family val="2"/>
    </font>
    <font>
      <vertAlign val="superscript"/>
      <sz val="11"/>
      <name val="Arial"/>
      <family val="2"/>
    </font>
    <font>
      <sz val="8"/>
      <color theme="1"/>
      <name val="Arial"/>
      <family val="2"/>
    </font>
    <font>
      <sz val="7.8"/>
      <name val="Arial"/>
      <family val="2"/>
    </font>
    <font>
      <b/>
      <sz val="9"/>
      <name val="Arial"/>
      <family val="1"/>
      <charset val="2"/>
    </font>
  </fonts>
  <fills count="5">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0" tint="-0.149967955565050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top style="thin">
        <color rgb="FFFF0000"/>
      </top>
      <bottom/>
      <diagonal/>
    </border>
    <border>
      <left style="thin">
        <color indexed="64"/>
      </left>
      <right style="thin">
        <color indexed="64"/>
      </right>
      <top style="thin">
        <color indexed="64"/>
      </top>
      <bottom style="double">
        <color indexed="64"/>
      </bottom>
      <diagonal/>
    </border>
    <border diagonalUp="1" diagonalDown="1">
      <left style="thin">
        <color indexed="64"/>
      </left>
      <right style="thin">
        <color indexed="64"/>
      </right>
      <top/>
      <bottom style="thin">
        <color indexed="64"/>
      </bottom>
      <diagonal style="thin">
        <color indexed="64"/>
      </diagonal>
    </border>
    <border>
      <left style="thin">
        <color indexed="64"/>
      </left>
      <right/>
      <top style="thin">
        <color indexed="64"/>
      </top>
      <bottom style="double">
        <color indexed="64"/>
      </bottom>
      <diagonal/>
    </border>
    <border diagonalUp="1" diagonalDown="1">
      <left style="thin">
        <color indexed="64"/>
      </left>
      <right style="thin">
        <color indexed="64"/>
      </right>
      <top style="thin">
        <color indexed="64"/>
      </top>
      <bottom style="double">
        <color indexed="64"/>
      </bottom>
      <diagonal style="thin">
        <color indexed="64"/>
      </diagonal>
    </border>
    <border>
      <left/>
      <right/>
      <top/>
      <bottom style="thin">
        <color rgb="FFFF0000"/>
      </bottom>
      <diagonal/>
    </border>
  </borders>
  <cellStyleXfs count="8">
    <xf numFmtId="0" fontId="0" fillId="0" borderId="0"/>
    <xf numFmtId="0" fontId="6" fillId="0" borderId="0"/>
    <xf numFmtId="0" fontId="7" fillId="0" borderId="0"/>
    <xf numFmtId="43" fontId="7" fillId="0" borderId="0" applyFont="0" applyFill="0" applyBorder="0" applyAlignment="0" applyProtection="0"/>
    <xf numFmtId="167"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cellStyleXfs>
  <cellXfs count="424">
    <xf numFmtId="0" fontId="0" fillId="0" borderId="0" xfId="0"/>
    <xf numFmtId="0" fontId="0" fillId="0" borderId="0" xfId="0" applyAlignment="1">
      <alignment vertical="center" wrapText="1"/>
    </xf>
    <xf numFmtId="0" fontId="2" fillId="0" borderId="0" xfId="0" applyFont="1" applyAlignment="1">
      <alignment vertical="center" wrapText="1"/>
    </xf>
    <xf numFmtId="0" fontId="2" fillId="0" borderId="0" xfId="0" applyFont="1"/>
    <xf numFmtId="0" fontId="3" fillId="0" borderId="0" xfId="0" applyFont="1"/>
    <xf numFmtId="0" fontId="2" fillId="0" borderId="0" xfId="0" applyFont="1" applyAlignment="1">
      <alignment horizontal="center"/>
    </xf>
    <xf numFmtId="0" fontId="3" fillId="0" borderId="3" xfId="0" applyFont="1" applyBorder="1" applyAlignment="1">
      <alignment vertical="center" wrapText="1"/>
    </xf>
    <xf numFmtId="0" fontId="1" fillId="0" borderId="4" xfId="0" applyFont="1" applyBorder="1" applyAlignment="1">
      <alignment horizontal="center" vertical="center" wrapText="1"/>
    </xf>
    <xf numFmtId="0" fontId="2" fillId="0" borderId="3" xfId="0" applyFont="1" applyBorder="1" applyAlignment="1">
      <alignment vertical="center" wrapText="1"/>
    </xf>
    <xf numFmtId="0" fontId="0" fillId="0" borderId="10" xfId="0" applyBorder="1" applyAlignment="1">
      <alignment vertical="center" wrapText="1"/>
    </xf>
    <xf numFmtId="0" fontId="3" fillId="4" borderId="1" xfId="0" applyFont="1" applyFill="1" applyBorder="1" applyAlignment="1">
      <alignment horizontal="center" vertical="center" wrapText="1"/>
    </xf>
    <xf numFmtId="0" fontId="2" fillId="0" borderId="3" xfId="0" applyFont="1" applyBorder="1" applyAlignment="1">
      <alignment vertical="center"/>
    </xf>
    <xf numFmtId="0" fontId="2" fillId="0" borderId="1" xfId="0" applyFont="1" applyBorder="1" applyAlignment="1">
      <alignment vertical="center"/>
    </xf>
    <xf numFmtId="0" fontId="0" fillId="0" borderId="0" xfId="0" applyAlignment="1">
      <alignment wrapText="1"/>
    </xf>
    <xf numFmtId="0" fontId="0" fillId="0" borderId="0" xfId="0" applyAlignment="1">
      <alignment vertical="center"/>
    </xf>
    <xf numFmtId="0" fontId="0" fillId="0" borderId="1" xfId="0" applyBorder="1" applyAlignment="1">
      <alignment vertical="center"/>
    </xf>
    <xf numFmtId="0" fontId="0" fillId="0" borderId="1" xfId="0" applyBorder="1" applyAlignment="1">
      <alignment vertical="center" wrapText="1"/>
    </xf>
    <xf numFmtId="4" fontId="0" fillId="0" borderId="1" xfId="0" applyNumberFormat="1" applyBorder="1" applyAlignment="1">
      <alignment vertical="center"/>
    </xf>
    <xf numFmtId="0" fontId="0" fillId="0" borderId="14" xfId="0" applyBorder="1"/>
    <xf numFmtId="0" fontId="0" fillId="0" borderId="12" xfId="0" applyBorder="1" applyAlignment="1">
      <alignment wrapText="1"/>
    </xf>
    <xf numFmtId="0" fontId="0" fillId="0" borderId="11" xfId="0" applyBorder="1" applyAlignment="1">
      <alignment vertical="center"/>
    </xf>
    <xf numFmtId="0" fontId="0" fillId="0" borderId="9" xfId="0" applyBorder="1" applyAlignment="1">
      <alignment vertical="center" wrapText="1"/>
    </xf>
    <xf numFmtId="0" fontId="5" fillId="0" borderId="7" xfId="0" applyFont="1" applyBorder="1" applyAlignment="1">
      <alignment horizontal="center" vertical="center"/>
    </xf>
    <xf numFmtId="0" fontId="5" fillId="0" borderId="5" xfId="0" applyFont="1" applyBorder="1" applyAlignment="1">
      <alignment horizontal="center" vertical="center" wrapText="1"/>
    </xf>
    <xf numFmtId="0" fontId="5" fillId="0" borderId="1" xfId="0" applyFont="1" applyBorder="1" applyAlignment="1">
      <alignment horizontal="center" vertical="center" wrapText="1"/>
    </xf>
    <xf numFmtId="0" fontId="0" fillId="0" borderId="4" xfId="0" applyBorder="1" applyAlignment="1">
      <alignment vertical="center" wrapText="1"/>
    </xf>
    <xf numFmtId="0" fontId="0" fillId="0" borderId="2" xfId="0" applyBorder="1" applyAlignment="1">
      <alignment vertical="center"/>
    </xf>
    <xf numFmtId="4" fontId="2" fillId="0" borderId="0" xfId="0" applyNumberFormat="1" applyFont="1" applyAlignment="1">
      <alignment vertical="center" wrapText="1"/>
    </xf>
    <xf numFmtId="4" fontId="0" fillId="0" borderId="0" xfId="0" applyNumberFormat="1" applyAlignment="1">
      <alignment vertical="center" wrapText="1"/>
    </xf>
    <xf numFmtId="4" fontId="2" fillId="3" borderId="4" xfId="0" applyNumberFormat="1" applyFont="1" applyFill="1" applyBorder="1" applyAlignment="1">
      <alignment vertical="center" wrapText="1"/>
    </xf>
    <xf numFmtId="4" fontId="2" fillId="0" borderId="4" xfId="0" applyNumberFormat="1" applyFont="1" applyBorder="1" applyAlignment="1">
      <alignment vertical="center" wrapText="1"/>
    </xf>
    <xf numFmtId="4" fontId="3" fillId="4" borderId="1" xfId="0" applyNumberFormat="1" applyFont="1" applyFill="1" applyBorder="1" applyAlignment="1">
      <alignment horizontal="center" vertical="center" wrapText="1"/>
    </xf>
    <xf numFmtId="4" fontId="2"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xf>
    <xf numFmtId="4" fontId="2" fillId="0" borderId="1" xfId="0" applyNumberFormat="1" applyFont="1" applyBorder="1" applyAlignment="1">
      <alignment horizontal="center" vertical="center"/>
    </xf>
    <xf numFmtId="4" fontId="2" fillId="0" borderId="3" xfId="0" applyNumberFormat="1" applyFont="1" applyBorder="1" applyAlignment="1">
      <alignment horizontal="center" vertical="center"/>
    </xf>
    <xf numFmtId="4" fontId="2" fillId="0" borderId="1" xfId="0" applyNumberFormat="1" applyFont="1" applyBorder="1" applyAlignment="1">
      <alignment vertical="center"/>
    </xf>
    <xf numFmtId="4" fontId="0" fillId="0" borderId="0" xfId="0" applyNumberFormat="1"/>
    <xf numFmtId="4" fontId="2" fillId="0" borderId="0" xfId="0" applyNumberFormat="1" applyFont="1"/>
    <xf numFmtId="4" fontId="5" fillId="0" borderId="9" xfId="0" applyNumberFormat="1" applyFont="1" applyBorder="1"/>
    <xf numFmtId="0" fontId="5" fillId="0" borderId="8" xfId="0" applyFont="1" applyBorder="1" applyAlignment="1">
      <alignment vertical="center"/>
    </xf>
    <xf numFmtId="4" fontId="5" fillId="0" borderId="5" xfId="0" applyNumberFormat="1" applyFont="1" applyBorder="1" applyAlignment="1">
      <alignment vertical="center"/>
    </xf>
    <xf numFmtId="0" fontId="5" fillId="0" borderId="11" xfId="0" applyFont="1" applyBorder="1" applyAlignment="1">
      <alignment vertical="center"/>
    </xf>
    <xf numFmtId="0" fontId="5" fillId="0" borderId="2" xfId="0" applyFont="1" applyBorder="1" applyAlignment="1">
      <alignment vertical="center" wrapText="1"/>
    </xf>
    <xf numFmtId="4" fontId="5" fillId="0" borderId="6" xfId="0" applyNumberFormat="1" applyFont="1" applyBorder="1" applyAlignment="1">
      <alignment vertical="center" wrapText="1"/>
    </xf>
    <xf numFmtId="4" fontId="3" fillId="0" borderId="8" xfId="0" applyNumberFormat="1" applyFont="1" applyBorder="1" applyAlignment="1">
      <alignment vertical="center" wrapText="1"/>
    </xf>
    <xf numFmtId="4" fontId="3" fillId="0" borderId="1" xfId="0" applyNumberFormat="1" applyFont="1" applyBorder="1" applyAlignment="1">
      <alignment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0" fontId="1" fillId="0" borderId="10" xfId="0" applyFont="1" applyBorder="1" applyAlignment="1">
      <alignment horizontal="center" vertical="center" wrapText="1"/>
    </xf>
    <xf numFmtId="165" fontId="1" fillId="0" borderId="4" xfId="0" applyNumberFormat="1" applyFont="1" applyBorder="1" applyAlignment="1">
      <alignment horizontal="center" vertical="center" wrapText="1"/>
    </xf>
    <xf numFmtId="4" fontId="0" fillId="0" borderId="12" xfId="0" applyNumberFormat="1" applyBorder="1"/>
    <xf numFmtId="4" fontId="2" fillId="0" borderId="13" xfId="0" applyNumberFormat="1" applyFont="1" applyBorder="1"/>
    <xf numFmtId="0" fontId="8" fillId="4" borderId="1" xfId="0" applyFont="1" applyFill="1" applyBorder="1" applyAlignment="1">
      <alignment horizontal="center" vertical="center" wrapText="1"/>
    </xf>
    <xf numFmtId="164" fontId="8" fillId="4"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4" xfId="0" applyFont="1" applyBorder="1" applyAlignment="1">
      <alignment vertical="center" wrapText="1"/>
    </xf>
    <xf numFmtId="0" fontId="9" fillId="0" borderId="1" xfId="0" applyFont="1" applyBorder="1" applyAlignment="1">
      <alignment vertical="center"/>
    </xf>
    <xf numFmtId="0" fontId="8" fillId="0" borderId="1" xfId="0" applyFont="1" applyBorder="1" applyAlignment="1">
      <alignment vertical="center"/>
    </xf>
    <xf numFmtId="0" fontId="9" fillId="0" borderId="1" xfId="0" applyFont="1" applyBorder="1" applyAlignment="1">
      <alignment horizontal="center" vertical="center"/>
    </xf>
    <xf numFmtId="0" fontId="9" fillId="0" borderId="3" xfId="0" applyFont="1" applyBorder="1" applyAlignment="1">
      <alignment horizontal="center" vertical="center"/>
    </xf>
    <xf numFmtId="0" fontId="9" fillId="0" borderId="3" xfId="0" applyFont="1" applyBorder="1" applyAlignment="1">
      <alignment vertical="center"/>
    </xf>
    <xf numFmtId="0" fontId="6" fillId="0" borderId="12" xfId="0" applyFont="1" applyBorder="1"/>
    <xf numFmtId="0" fontId="10" fillId="0" borderId="9" xfId="0" applyFont="1" applyBorder="1"/>
    <xf numFmtId="0" fontId="6" fillId="0" borderId="0" xfId="0" applyFont="1"/>
    <xf numFmtId="4" fontId="2" fillId="0" borderId="3" xfId="0" applyNumberFormat="1" applyFont="1" applyBorder="1" applyAlignment="1">
      <alignment vertical="center"/>
    </xf>
    <xf numFmtId="0" fontId="0" fillId="0" borderId="4" xfId="0" applyBorder="1"/>
    <xf numFmtId="0" fontId="5" fillId="0" borderId="8" xfId="0" applyFont="1" applyBorder="1" applyAlignment="1">
      <alignment vertical="center" wrapText="1"/>
    </xf>
    <xf numFmtId="0" fontId="0" fillId="0" borderId="1" xfId="0" applyBorder="1" applyAlignment="1">
      <alignment horizontal="left" vertical="center" wrapText="1"/>
    </xf>
    <xf numFmtId="4" fontId="2" fillId="0" borderId="4" xfId="0" applyNumberFormat="1" applyFont="1" applyBorder="1" applyAlignment="1">
      <alignment horizontal="center" vertical="center" wrapText="1"/>
    </xf>
    <xf numFmtId="4" fontId="2" fillId="0" borderId="4" xfId="0" applyNumberFormat="1" applyFont="1" applyBorder="1" applyAlignment="1">
      <alignment vertical="center"/>
    </xf>
    <xf numFmtId="0" fontId="2" fillId="0" borderId="4" xfId="0" applyFont="1" applyBorder="1" applyAlignment="1">
      <alignment vertical="center"/>
    </xf>
    <xf numFmtId="0" fontId="9" fillId="0" borderId="4" xfId="0" applyFont="1" applyBorder="1" applyAlignment="1">
      <alignment vertical="center"/>
    </xf>
    <xf numFmtId="0" fontId="9" fillId="0" borderId="4" xfId="0" applyFont="1" applyBorder="1" applyAlignment="1">
      <alignment horizontal="center" vertical="center"/>
    </xf>
    <xf numFmtId="4" fontId="2" fillId="0" borderId="4" xfId="0" applyNumberFormat="1" applyFont="1" applyBorder="1" applyAlignment="1">
      <alignment horizontal="center" vertical="center"/>
    </xf>
    <xf numFmtId="3" fontId="9" fillId="0" borderId="4" xfId="0" applyNumberFormat="1" applyFont="1" applyBorder="1" applyAlignment="1">
      <alignment vertical="center"/>
    </xf>
    <xf numFmtId="0" fontId="2" fillId="0" borderId="10" xfId="0" applyFont="1" applyBorder="1" applyAlignment="1">
      <alignment vertical="center"/>
    </xf>
    <xf numFmtId="0" fontId="8" fillId="0" borderId="3"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9" fillId="0" borderId="1" xfId="0" applyFont="1" applyBorder="1" applyAlignment="1">
      <alignment horizontal="center" vertical="center" wrapText="1"/>
    </xf>
    <xf numFmtId="4" fontId="8" fillId="4" borderId="1" xfId="0" applyNumberFormat="1" applyFont="1" applyFill="1" applyBorder="1" applyAlignment="1">
      <alignment horizontal="center" vertical="center" wrapText="1"/>
    </xf>
    <xf numFmtId="4" fontId="9" fillId="0" borderId="1" xfId="0" applyNumberFormat="1" applyFont="1" applyBorder="1" applyAlignment="1">
      <alignment vertical="center" wrapText="1"/>
    </xf>
    <xf numFmtId="4" fontId="9" fillId="0" borderId="4" xfId="0" applyNumberFormat="1" applyFont="1" applyBorder="1" applyAlignment="1">
      <alignment vertical="center"/>
    </xf>
    <xf numFmtId="4" fontId="9" fillId="0" borderId="1" xfId="0" applyNumberFormat="1" applyFont="1" applyBorder="1" applyAlignment="1">
      <alignment vertical="center"/>
    </xf>
    <xf numFmtId="4" fontId="9" fillId="0" borderId="3" xfId="0" applyNumberFormat="1" applyFont="1" applyBorder="1" applyAlignment="1">
      <alignment vertical="center"/>
    </xf>
    <xf numFmtId="4" fontId="6" fillId="0" borderId="12" xfId="0" applyNumberFormat="1" applyFont="1" applyBorder="1"/>
    <xf numFmtId="4" fontId="10" fillId="0" borderId="9" xfId="0" applyNumberFormat="1" applyFont="1" applyBorder="1"/>
    <xf numFmtId="4" fontId="6" fillId="0" borderId="0" xfId="0" applyNumberFormat="1" applyFont="1"/>
    <xf numFmtId="0" fontId="12" fillId="3" borderId="1" xfId="0" applyFont="1" applyFill="1" applyBorder="1" applyAlignment="1">
      <alignment horizontal="center" vertical="center" wrapText="1"/>
    </xf>
    <xf numFmtId="2" fontId="13" fillId="3" borderId="1" xfId="0" applyNumberFormat="1" applyFont="1" applyFill="1" applyBorder="1" applyAlignment="1">
      <alignment horizontal="center" vertical="center" wrapText="1"/>
    </xf>
    <xf numFmtId="2" fontId="13" fillId="3" borderId="4" xfId="0" applyNumberFormat="1" applyFont="1" applyFill="1" applyBorder="1" applyAlignment="1">
      <alignment horizontal="center" vertical="center"/>
    </xf>
    <xf numFmtId="0" fontId="13" fillId="3" borderId="1" xfId="0" applyFont="1" applyFill="1" applyBorder="1" applyAlignment="1">
      <alignment horizontal="center" vertical="center"/>
    </xf>
    <xf numFmtId="4" fontId="16" fillId="0" borderId="1" xfId="0" applyNumberFormat="1" applyFont="1" applyBorder="1" applyAlignment="1">
      <alignment horizontal="center" vertical="center" wrapText="1"/>
    </xf>
    <xf numFmtId="2" fontId="13" fillId="3" borderId="2" xfId="0" applyNumberFormat="1" applyFont="1" applyFill="1" applyBorder="1" applyAlignment="1">
      <alignment horizontal="center" vertical="center"/>
    </xf>
    <xf numFmtId="2" fontId="13" fillId="3" borderId="1" xfId="0" applyNumberFormat="1" applyFont="1" applyFill="1" applyBorder="1" applyAlignment="1">
      <alignment horizontal="center" vertical="center"/>
    </xf>
    <xf numFmtId="0" fontId="2" fillId="0" borderId="4" xfId="0" applyFont="1" applyBorder="1" applyAlignment="1">
      <alignment vertical="top"/>
    </xf>
    <xf numFmtId="166" fontId="2" fillId="0" borderId="4" xfId="0" applyNumberFormat="1" applyFont="1" applyBorder="1" applyAlignment="1">
      <alignment vertical="top"/>
    </xf>
    <xf numFmtId="4" fontId="3" fillId="0" borderId="6" xfId="0" applyNumberFormat="1" applyFont="1" applyBorder="1" applyAlignment="1">
      <alignment horizontal="center"/>
    </xf>
    <xf numFmtId="4" fontId="9" fillId="0" borderId="2" xfId="0" applyNumberFormat="1" applyFont="1" applyBorder="1" applyAlignment="1">
      <alignment vertical="center"/>
    </xf>
    <xf numFmtId="4" fontId="8" fillId="0" borderId="5" xfId="0" applyNumberFormat="1" applyFont="1" applyBorder="1" applyAlignment="1">
      <alignment horizontal="center"/>
    </xf>
    <xf numFmtId="0" fontId="14" fillId="0" borderId="0" xfId="0" applyFont="1"/>
    <xf numFmtId="0" fontId="9" fillId="0" borderId="4" xfId="0" applyFont="1" applyBorder="1" applyAlignment="1">
      <alignment horizontal="center" vertical="center" wrapText="1"/>
    </xf>
    <xf numFmtId="4" fontId="9" fillId="0" borderId="3" xfId="0" applyNumberFormat="1" applyFont="1" applyBorder="1" applyAlignment="1">
      <alignment vertical="center" wrapText="1"/>
    </xf>
    <xf numFmtId="4" fontId="9" fillId="0" borderId="4" xfId="0" applyNumberFormat="1" applyFont="1" applyBorder="1" applyAlignment="1">
      <alignment vertical="center" wrapText="1"/>
    </xf>
    <xf numFmtId="4" fontId="9" fillId="0" borderId="2" xfId="0" applyNumberFormat="1" applyFont="1" applyBorder="1" applyAlignment="1">
      <alignment vertical="center" wrapText="1"/>
    </xf>
    <xf numFmtId="0" fontId="9" fillId="0" borderId="2" xfId="0" applyFont="1" applyBorder="1" applyAlignment="1">
      <alignment horizontal="center" vertical="center"/>
    </xf>
    <xf numFmtId="0" fontId="3" fillId="0" borderId="4" xfId="0" applyFont="1" applyBorder="1" applyAlignment="1">
      <alignment vertical="center" wrapText="1"/>
    </xf>
    <xf numFmtId="0" fontId="18" fillId="0" borderId="0" xfId="0" applyFont="1"/>
    <xf numFmtId="0" fontId="19" fillId="0" borderId="4" xfId="0" applyFont="1" applyBorder="1" applyAlignment="1">
      <alignment vertical="center"/>
    </xf>
    <xf numFmtId="0" fontId="18" fillId="0" borderId="4" xfId="0" applyFont="1" applyBorder="1"/>
    <xf numFmtId="0" fontId="19" fillId="0" borderId="1" xfId="0" applyFont="1" applyBorder="1" applyAlignment="1">
      <alignment vertical="center"/>
    </xf>
    <xf numFmtId="4" fontId="19" fillId="0" borderId="1" xfId="0" applyNumberFormat="1" applyFont="1" applyBorder="1" applyAlignment="1">
      <alignment vertical="center"/>
    </xf>
    <xf numFmtId="4" fontId="19" fillId="0" borderId="1" xfId="0" applyNumberFormat="1" applyFont="1" applyBorder="1" applyAlignment="1">
      <alignment horizontal="center" vertical="center"/>
    </xf>
    <xf numFmtId="0" fontId="2" fillId="0" borderId="2" xfId="0" applyFont="1" applyBorder="1" applyAlignment="1">
      <alignment vertical="center"/>
    </xf>
    <xf numFmtId="4" fontId="2" fillId="0" borderId="2" xfId="0" applyNumberFormat="1" applyFont="1" applyBorder="1" applyAlignment="1">
      <alignment vertical="center"/>
    </xf>
    <xf numFmtId="4" fontId="19" fillId="0" borderId="2" xfId="0" applyNumberFormat="1" applyFont="1" applyBorder="1" applyAlignment="1">
      <alignment horizontal="center" vertical="center"/>
    </xf>
    <xf numFmtId="0" fontId="19" fillId="0" borderId="10" xfId="0" applyFont="1" applyBorder="1" applyAlignment="1">
      <alignment vertical="center"/>
    </xf>
    <xf numFmtId="0" fontId="19" fillId="0" borderId="3" xfId="0" applyFont="1" applyBorder="1" applyAlignment="1">
      <alignment vertical="center"/>
    </xf>
    <xf numFmtId="165" fontId="2" fillId="0" borderId="0" xfId="0" applyNumberFormat="1" applyFont="1" applyAlignment="1">
      <alignment vertical="center" wrapText="1"/>
    </xf>
    <xf numFmtId="4" fontId="9" fillId="0" borderId="3" xfId="0" applyNumberFormat="1" applyFont="1" applyBorder="1" applyAlignment="1">
      <alignment horizontal="center" vertical="center"/>
    </xf>
    <xf numFmtId="4" fontId="9" fillId="0" borderId="4" xfId="0" applyNumberFormat="1" applyFont="1" applyBorder="1" applyAlignment="1">
      <alignment horizontal="center" vertical="center"/>
    </xf>
    <xf numFmtId="0" fontId="9" fillId="3" borderId="1" xfId="0" applyFont="1" applyFill="1" applyBorder="1" applyAlignment="1">
      <alignment horizontal="center" vertical="center"/>
    </xf>
    <xf numFmtId="4" fontId="9" fillId="0" borderId="1" xfId="0" applyNumberFormat="1" applyFont="1" applyBorder="1" applyAlignment="1">
      <alignment horizontal="center" vertical="center"/>
    </xf>
    <xf numFmtId="2" fontId="13" fillId="3" borderId="2" xfId="0" applyNumberFormat="1" applyFont="1" applyFill="1" applyBorder="1" applyAlignment="1">
      <alignment horizontal="center" vertical="center" wrapText="1"/>
    </xf>
    <xf numFmtId="4" fontId="9" fillId="0" borderId="4" xfId="0" applyNumberFormat="1" applyFont="1" applyBorder="1" applyAlignment="1">
      <alignment horizontal="center" vertical="center" wrapText="1"/>
    </xf>
    <xf numFmtId="166" fontId="2" fillId="0" borderId="10" xfId="0" applyNumberFormat="1" applyFont="1" applyBorder="1" applyAlignment="1">
      <alignment vertical="top"/>
    </xf>
    <xf numFmtId="4" fontId="2" fillId="0" borderId="1" xfId="0" applyNumberFormat="1" applyFont="1" applyBorder="1" applyAlignment="1">
      <alignment horizontal="center" vertical="center" wrapText="1"/>
    </xf>
    <xf numFmtId="4" fontId="2" fillId="0" borderId="3" xfId="0" applyNumberFormat="1" applyFont="1" applyBorder="1" applyAlignment="1">
      <alignment vertical="center" wrapText="1"/>
    </xf>
    <xf numFmtId="2" fontId="13" fillId="0" borderId="1" xfId="0" applyNumberFormat="1" applyFont="1" applyBorder="1" applyAlignment="1">
      <alignment horizontal="center" vertical="center"/>
    </xf>
    <xf numFmtId="0" fontId="14" fillId="0" borderId="12" xfId="0" applyFont="1" applyBorder="1"/>
    <xf numFmtId="0" fontId="15" fillId="0" borderId="9" xfId="0" applyFont="1" applyBorder="1"/>
    <xf numFmtId="0" fontId="10" fillId="0" borderId="0" xfId="0" applyFont="1" applyAlignment="1">
      <alignment vertical="top"/>
    </xf>
    <xf numFmtId="0" fontId="0" fillId="0" borderId="0" xfId="0" applyAlignment="1">
      <alignment vertical="top"/>
    </xf>
    <xf numFmtId="0" fontId="6" fillId="0" borderId="0" xfId="0" applyFont="1" applyAlignment="1">
      <alignment vertical="top"/>
    </xf>
    <xf numFmtId="0" fontId="6" fillId="0" borderId="0" xfId="0" applyFont="1" applyAlignment="1">
      <alignment horizontal="left" vertical="center" indent="3"/>
    </xf>
    <xf numFmtId="0" fontId="6" fillId="0" borderId="0" xfId="0" applyFont="1" applyAlignment="1">
      <alignment horizontal="left" vertical="top" wrapText="1" indent="2"/>
    </xf>
    <xf numFmtId="0" fontId="6" fillId="0" borderId="0" xfId="0" applyFont="1" applyAlignment="1">
      <alignment horizontal="left" vertical="top" indent="2"/>
    </xf>
    <xf numFmtId="0" fontId="6" fillId="0" borderId="0" xfId="0" applyFont="1" applyAlignment="1">
      <alignment horizontal="left" vertical="center" wrapText="1"/>
    </xf>
    <xf numFmtId="0" fontId="10" fillId="0" borderId="0" xfId="0" applyFont="1" applyAlignment="1">
      <alignment horizontal="left" vertical="center" wrapText="1"/>
    </xf>
    <xf numFmtId="0" fontId="6" fillId="0" borderId="0" xfId="0" applyFont="1" applyAlignment="1">
      <alignment vertical="center"/>
    </xf>
    <xf numFmtId="4" fontId="8" fillId="0" borderId="1" xfId="0" applyNumberFormat="1" applyFont="1" applyBorder="1" applyAlignment="1">
      <alignment horizontal="center" vertical="center" wrapText="1"/>
    </xf>
    <xf numFmtId="0" fontId="0" fillId="0" borderId="8" xfId="0" applyBorder="1" applyAlignment="1">
      <alignment vertical="center" wrapText="1"/>
    </xf>
    <xf numFmtId="0" fontId="6" fillId="0" borderId="0" xfId="0" applyFont="1" applyAlignment="1">
      <alignment vertical="center" wrapText="1"/>
    </xf>
    <xf numFmtId="0" fontId="6" fillId="0" borderId="1" xfId="0" applyFont="1" applyBorder="1" applyAlignment="1">
      <alignment horizontal="center" vertical="center" wrapText="1"/>
    </xf>
    <xf numFmtId="0" fontId="6" fillId="0" borderId="0" xfId="0" applyFont="1" applyAlignment="1">
      <alignment horizontal="left" vertical="center" wrapText="1" indent="1"/>
    </xf>
    <xf numFmtId="0" fontId="18" fillId="0" borderId="0" xfId="0" applyFont="1" applyAlignment="1">
      <alignment horizontal="left" vertical="center" wrapText="1" indent="1"/>
    </xf>
    <xf numFmtId="0" fontId="6" fillId="0" borderId="0" xfId="0" applyFont="1" applyAlignment="1">
      <alignment horizontal="left" indent="1"/>
    </xf>
    <xf numFmtId="0" fontId="6" fillId="0" borderId="0" xfId="0" applyFont="1" applyAlignment="1">
      <alignment horizontal="center" vertical="center" wrapText="1"/>
    </xf>
    <xf numFmtId="0" fontId="20" fillId="0" borderId="3" xfId="0" applyFont="1" applyBorder="1" applyAlignment="1">
      <alignment horizontal="center" vertical="center" wrapText="1"/>
    </xf>
    <xf numFmtId="0" fontId="20" fillId="0" borderId="2" xfId="0" applyFont="1" applyBorder="1" applyAlignment="1">
      <alignment horizontal="center" vertical="center" wrapText="1"/>
    </xf>
    <xf numFmtId="0" fontId="0" fillId="0" borderId="3" xfId="0" applyBorder="1" applyAlignment="1">
      <alignment vertical="center" wrapText="1"/>
    </xf>
    <xf numFmtId="0" fontId="5" fillId="0" borderId="11" xfId="0" applyFont="1" applyBorder="1" applyAlignment="1">
      <alignment vertical="center" wrapText="1"/>
    </xf>
    <xf numFmtId="4" fontId="19" fillId="0" borderId="4" xfId="0" applyNumberFormat="1" applyFont="1" applyBorder="1" applyAlignment="1">
      <alignment vertical="center"/>
    </xf>
    <xf numFmtId="2" fontId="9" fillId="3" borderId="4" xfId="0" applyNumberFormat="1" applyFont="1" applyFill="1" applyBorder="1" applyAlignment="1">
      <alignment horizontal="center" vertical="center"/>
    </xf>
    <xf numFmtId="0" fontId="9" fillId="0" borderId="1" xfId="0" applyFont="1" applyBorder="1" applyAlignment="1">
      <alignment vertical="center" wrapText="1"/>
    </xf>
    <xf numFmtId="0" fontId="9" fillId="0" borderId="2" xfId="0" applyFont="1" applyBorder="1" applyAlignment="1">
      <alignment vertical="center" wrapText="1"/>
    </xf>
    <xf numFmtId="0" fontId="5" fillId="0" borderId="5" xfId="0" applyFont="1" applyBorder="1" applyAlignment="1">
      <alignment vertical="center" wrapText="1"/>
    </xf>
    <xf numFmtId="0" fontId="9" fillId="0" borderId="4" xfId="0" applyFont="1" applyBorder="1" applyAlignment="1">
      <alignment vertical="top"/>
    </xf>
    <xf numFmtId="0" fontId="7" fillId="0" borderId="4" xfId="0" applyFont="1" applyBorder="1" applyAlignment="1">
      <alignment horizontal="center" vertical="center" wrapText="1"/>
    </xf>
    <xf numFmtId="0" fontId="8" fillId="0" borderId="3" xfId="0" applyFont="1" applyBorder="1" applyAlignment="1">
      <alignment vertical="center" wrapText="1"/>
    </xf>
    <xf numFmtId="0" fontId="8" fillId="0" borderId="4" xfId="0" applyFont="1" applyBorder="1" applyAlignment="1">
      <alignment vertical="center"/>
    </xf>
    <xf numFmtId="166" fontId="9" fillId="0" borderId="4" xfId="0" applyNumberFormat="1" applyFont="1" applyBorder="1" applyAlignment="1">
      <alignment vertical="top"/>
    </xf>
    <xf numFmtId="0" fontId="9" fillId="0" borderId="10" xfId="0" applyFont="1" applyBorder="1" applyAlignment="1">
      <alignment vertical="center"/>
    </xf>
    <xf numFmtId="4" fontId="9" fillId="0" borderId="3" xfId="0" applyNumberFormat="1" applyFont="1" applyBorder="1" applyAlignment="1">
      <alignment horizontal="center" vertical="center" wrapText="1"/>
    </xf>
    <xf numFmtId="4" fontId="8" fillId="0" borderId="1" xfId="0" applyNumberFormat="1" applyFont="1" applyBorder="1" applyAlignment="1">
      <alignment vertical="center" wrapText="1"/>
    </xf>
    <xf numFmtId="4" fontId="9" fillId="0" borderId="2" xfId="0" applyNumberFormat="1" applyFont="1" applyBorder="1" applyAlignment="1">
      <alignment horizontal="center" vertical="center"/>
    </xf>
    <xf numFmtId="4" fontId="19" fillId="0" borderId="4" xfId="0" applyNumberFormat="1" applyFont="1" applyBorder="1" applyAlignment="1">
      <alignment horizontal="center" vertical="center" wrapText="1"/>
    </xf>
    <xf numFmtId="4" fontId="19" fillId="0" borderId="4" xfId="0" applyNumberFormat="1" applyFont="1" applyBorder="1" applyAlignment="1">
      <alignment horizontal="center" vertical="center"/>
    </xf>
    <xf numFmtId="0" fontId="0" fillId="0" borderId="0" xfId="0" applyAlignment="1">
      <alignment horizontal="left" vertical="center"/>
    </xf>
    <xf numFmtId="166" fontId="2" fillId="0" borderId="4" xfId="0" applyNumberFormat="1" applyFont="1" applyBorder="1" applyAlignment="1">
      <alignment vertical="center"/>
    </xf>
    <xf numFmtId="2" fontId="9" fillId="3" borderId="1" xfId="0" applyNumberFormat="1" applyFont="1" applyFill="1" applyBorder="1" applyAlignment="1">
      <alignment horizontal="center" vertical="center" wrapText="1"/>
    </xf>
    <xf numFmtId="4" fontId="9" fillId="3" borderId="4" xfId="0" applyNumberFormat="1" applyFont="1" applyFill="1" applyBorder="1" applyAlignment="1">
      <alignment vertical="center" wrapText="1"/>
    </xf>
    <xf numFmtId="0" fontId="6" fillId="0" borderId="14" xfId="0" applyFont="1" applyBorder="1"/>
    <xf numFmtId="0" fontId="6" fillId="0" borderId="12" xfId="0" applyFont="1" applyBorder="1" applyAlignment="1">
      <alignment wrapText="1"/>
    </xf>
    <xf numFmtId="0" fontId="6" fillId="0" borderId="11" xfId="0" applyFont="1" applyBorder="1" applyAlignment="1">
      <alignment vertical="center"/>
    </xf>
    <xf numFmtId="0" fontId="6" fillId="0" borderId="9" xfId="0" applyFont="1" applyBorder="1" applyAlignment="1">
      <alignment vertical="center" wrapText="1"/>
    </xf>
    <xf numFmtId="0" fontId="6" fillId="0" borderId="1" xfId="0" applyFont="1" applyBorder="1" applyAlignment="1">
      <alignment vertical="center"/>
    </xf>
    <xf numFmtId="0" fontId="6" fillId="0" borderId="1" xfId="0" applyFont="1" applyBorder="1" applyAlignment="1">
      <alignment horizontal="left" vertical="center" wrapText="1"/>
    </xf>
    <xf numFmtId="4" fontId="6" fillId="0" borderId="1" xfId="0" applyNumberFormat="1" applyFont="1" applyBorder="1" applyAlignment="1">
      <alignment vertical="center"/>
    </xf>
    <xf numFmtId="4" fontId="10" fillId="0" borderId="5" xfId="0" applyNumberFormat="1" applyFont="1" applyBorder="1" applyAlignment="1">
      <alignment vertical="center"/>
    </xf>
    <xf numFmtId="0" fontId="22" fillId="0" borderId="0" xfId="0" applyFont="1" applyAlignment="1">
      <alignment horizontal="left" vertical="center" wrapText="1"/>
    </xf>
    <xf numFmtId="0" fontId="22" fillId="0" borderId="0" xfId="0" applyFont="1" applyAlignment="1">
      <alignment horizontal="centerContinuous" vertical="center"/>
    </xf>
    <xf numFmtId="0" fontId="22" fillId="0" borderId="0" xfId="0" applyFont="1" applyAlignment="1">
      <alignment horizontal="center" vertical="center"/>
    </xf>
    <xf numFmtId="0" fontId="6" fillId="0" borderId="0" xfId="2" applyFont="1" applyAlignment="1">
      <alignment wrapText="1"/>
    </xf>
    <xf numFmtId="0" fontId="6" fillId="0" borderId="7" xfId="0" applyFont="1" applyBorder="1" applyAlignment="1">
      <alignment horizontal="center" vertical="center" wrapText="1"/>
    </xf>
    <xf numFmtId="166" fontId="6" fillId="2" borderId="7" xfId="0" applyNumberFormat="1" applyFont="1" applyFill="1" applyBorder="1" applyAlignment="1" applyProtection="1">
      <alignment horizontal="center" vertical="center"/>
      <protection locked="0"/>
    </xf>
    <xf numFmtId="1" fontId="6" fillId="2" borderId="7" xfId="0" applyNumberFormat="1" applyFont="1" applyFill="1" applyBorder="1" applyAlignment="1" applyProtection="1">
      <alignment horizontal="centerContinuous" vertical="center"/>
      <protection locked="0"/>
    </xf>
    <xf numFmtId="166" fontId="6" fillId="3" borderId="1" xfId="0" applyNumberFormat="1" applyFont="1" applyFill="1" applyBorder="1" applyAlignment="1">
      <alignment horizontal="center" vertical="center"/>
    </xf>
    <xf numFmtId="0" fontId="3" fillId="0" borderId="8" xfId="0" applyFont="1" applyBorder="1" applyAlignment="1">
      <alignment horizontal="left" vertical="center" wrapText="1"/>
    </xf>
    <xf numFmtId="0" fontId="3" fillId="0" borderId="5" xfId="0" applyFont="1" applyBorder="1" applyAlignment="1">
      <alignment horizontal="left" vertical="center" wrapText="1"/>
    </xf>
    <xf numFmtId="4" fontId="2" fillId="0" borderId="3" xfId="0" applyNumberFormat="1" applyFont="1" applyBorder="1"/>
    <xf numFmtId="4" fontId="2" fillId="0" borderId="4" xfId="0" applyNumberFormat="1" applyFont="1" applyBorder="1"/>
    <xf numFmtId="0" fontId="3" fillId="0" borderId="2" xfId="0" applyFont="1" applyBorder="1"/>
    <xf numFmtId="4" fontId="2" fillId="0" borderId="3" xfId="0" applyNumberFormat="1" applyFont="1" applyBorder="1" applyAlignment="1" applyProtection="1">
      <alignment vertical="center" wrapText="1"/>
      <protection locked="0"/>
    </xf>
    <xf numFmtId="4" fontId="2" fillId="0" borderId="4" xfId="0" applyNumberFormat="1" applyFont="1" applyBorder="1" applyAlignment="1" applyProtection="1">
      <alignment vertical="center"/>
      <protection locked="0"/>
    </xf>
    <xf numFmtId="4" fontId="9" fillId="0" borderId="4" xfId="0" applyNumberFormat="1" applyFont="1" applyBorder="1" applyAlignment="1" applyProtection="1">
      <alignment vertical="center"/>
      <protection locked="0"/>
    </xf>
    <xf numFmtId="4" fontId="2" fillId="0" borderId="3" xfId="0" applyNumberFormat="1" applyFont="1" applyBorder="1" applyAlignment="1" applyProtection="1">
      <alignment vertical="center"/>
      <protection locked="0"/>
    </xf>
    <xf numFmtId="4" fontId="9" fillId="0" borderId="3" xfId="0" applyNumberFormat="1" applyFont="1" applyBorder="1" applyAlignment="1" applyProtection="1">
      <alignment vertical="center"/>
      <protection locked="0"/>
    </xf>
    <xf numFmtId="4" fontId="2" fillId="0" borderId="1" xfId="0" applyNumberFormat="1" applyFont="1" applyBorder="1" applyAlignment="1" applyProtection="1">
      <alignment vertical="center" wrapText="1"/>
      <protection locked="0"/>
    </xf>
    <xf numFmtId="4" fontId="2" fillId="0" borderId="1" xfId="0" applyNumberFormat="1" applyFont="1" applyBorder="1" applyAlignment="1" applyProtection="1">
      <alignment vertical="center"/>
      <protection locked="0"/>
    </xf>
    <xf numFmtId="4" fontId="2" fillId="0" borderId="2" xfId="0" applyNumberFormat="1" applyFont="1" applyBorder="1" applyAlignment="1" applyProtection="1">
      <alignment vertical="center"/>
      <protection locked="0"/>
    </xf>
    <xf numFmtId="4" fontId="9" fillId="0" borderId="4" xfId="0" applyNumberFormat="1" applyFont="1" applyBorder="1" applyAlignment="1" applyProtection="1">
      <alignment vertical="center" wrapText="1"/>
      <protection locked="0"/>
    </xf>
    <xf numFmtId="4" fontId="9" fillId="0" borderId="3" xfId="0" applyNumberFormat="1" applyFont="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0" borderId="20" xfId="0" applyBorder="1" applyAlignment="1" applyProtection="1">
      <alignment vertical="center" wrapText="1"/>
      <protection locked="0"/>
    </xf>
    <xf numFmtId="0" fontId="3" fillId="0" borderId="7" xfId="0" applyFont="1" applyBorder="1" applyAlignment="1">
      <alignment vertical="center" wrapText="1"/>
    </xf>
    <xf numFmtId="168" fontId="2" fillId="3" borderId="4" xfId="0" applyNumberFormat="1" applyFont="1" applyFill="1" applyBorder="1" applyAlignment="1">
      <alignment vertical="center" wrapText="1"/>
    </xf>
    <xf numFmtId="2" fontId="1" fillId="0" borderId="4" xfId="0" applyNumberFormat="1" applyFont="1" applyBorder="1" applyAlignment="1">
      <alignment horizontal="center" vertical="center" wrapText="1"/>
    </xf>
    <xf numFmtId="0" fontId="2" fillId="0" borderId="12" xfId="0" applyFont="1" applyBorder="1" applyAlignment="1">
      <alignment vertical="center" wrapText="1"/>
    </xf>
    <xf numFmtId="4" fontId="2" fillId="0" borderId="2"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4" fontId="9" fillId="3" borderId="1" xfId="0" applyNumberFormat="1" applyFont="1" applyFill="1" applyBorder="1" applyAlignment="1">
      <alignment vertical="center" wrapText="1"/>
    </xf>
    <xf numFmtId="0" fontId="9" fillId="0" borderId="10" xfId="0" applyFont="1" applyBorder="1" applyAlignment="1">
      <alignment horizontal="center" vertical="center" wrapText="1"/>
    </xf>
    <xf numFmtId="165" fontId="7" fillId="0" borderId="1" xfId="0" applyNumberFormat="1" applyFont="1" applyBorder="1" applyAlignment="1">
      <alignment horizontal="center" vertical="center" wrapText="1"/>
    </xf>
    <xf numFmtId="0" fontId="9" fillId="0" borderId="0" xfId="0" applyFont="1"/>
    <xf numFmtId="4" fontId="8" fillId="0" borderId="8" xfId="0" applyNumberFormat="1" applyFont="1" applyBorder="1" applyAlignment="1">
      <alignment vertical="center" wrapText="1"/>
    </xf>
    <xf numFmtId="0" fontId="8" fillId="0" borderId="0" xfId="0" applyFont="1"/>
    <xf numFmtId="0" fontId="0" fillId="0" borderId="15" xfId="0" applyBorder="1" applyAlignment="1">
      <alignment vertical="center" wrapText="1"/>
    </xf>
    <xf numFmtId="0" fontId="0" fillId="0" borderId="23" xfId="0" applyBorder="1" applyAlignment="1">
      <alignment vertical="center" wrapText="1"/>
    </xf>
    <xf numFmtId="0" fontId="0" fillId="0" borderId="21" xfId="0" applyBorder="1" applyAlignment="1">
      <alignment vertical="center" wrapText="1"/>
    </xf>
    <xf numFmtId="2" fontId="0" fillId="0" borderId="1" xfId="0" applyNumberFormat="1" applyBorder="1" applyAlignment="1">
      <alignment vertical="center" wrapText="1"/>
    </xf>
    <xf numFmtId="2" fontId="0" fillId="0" borderId="2" xfId="0" applyNumberFormat="1" applyBorder="1" applyAlignment="1">
      <alignment vertical="center" wrapText="1"/>
    </xf>
    <xf numFmtId="4" fontId="8" fillId="0" borderId="1" xfId="0" applyNumberFormat="1" applyFont="1" applyBorder="1"/>
    <xf numFmtId="0" fontId="3" fillId="4" borderId="8" xfId="0" applyFont="1" applyFill="1" applyBorder="1" applyAlignment="1">
      <alignment horizontal="center" vertical="center"/>
    </xf>
    <xf numFmtId="4" fontId="9" fillId="0" borderId="3" xfId="0" applyNumberFormat="1" applyFont="1" applyBorder="1" applyAlignment="1">
      <alignment horizontal="right" vertical="center" wrapText="1"/>
    </xf>
    <xf numFmtId="4" fontId="9" fillId="0" borderId="4" xfId="0" applyNumberFormat="1" applyFont="1" applyBorder="1" applyAlignment="1">
      <alignment horizontal="right" vertical="center"/>
    </xf>
    <xf numFmtId="4" fontId="9" fillId="0" borderId="1" xfId="0" applyNumberFormat="1" applyFont="1" applyBorder="1" applyAlignment="1">
      <alignment horizontal="right" vertical="center"/>
    </xf>
    <xf numFmtId="4" fontId="9" fillId="0" borderId="3" xfId="0" applyNumberFormat="1" applyFont="1" applyBorder="1" applyAlignment="1">
      <alignment horizontal="right" vertical="center"/>
    </xf>
    <xf numFmtId="4" fontId="6" fillId="0" borderId="12" xfId="0" applyNumberFormat="1" applyFont="1" applyBorder="1" applyAlignment="1">
      <alignment horizontal="right"/>
    </xf>
    <xf numFmtId="4" fontId="10" fillId="0" borderId="9" xfId="0" applyNumberFormat="1" applyFont="1" applyBorder="1" applyAlignment="1">
      <alignment horizontal="right"/>
    </xf>
    <xf numFmtId="4" fontId="6" fillId="0" borderId="0" xfId="0" applyNumberFormat="1" applyFont="1" applyAlignment="1">
      <alignment horizontal="right"/>
    </xf>
    <xf numFmtId="0" fontId="3" fillId="4" borderId="8" xfId="0" applyFont="1" applyFill="1" applyBorder="1" applyAlignment="1">
      <alignment horizontal="right" vertical="center"/>
    </xf>
    <xf numFmtId="4" fontId="9" fillId="0" borderId="4" xfId="0" applyNumberFormat="1" applyFont="1" applyBorder="1" applyAlignment="1">
      <alignment horizontal="right" vertical="center" wrapText="1"/>
    </xf>
    <xf numFmtId="4" fontId="9" fillId="0" borderId="1" xfId="0" applyNumberFormat="1" applyFont="1" applyBorder="1" applyAlignment="1">
      <alignment horizontal="right" vertical="center" wrapText="1"/>
    </xf>
    <xf numFmtId="2" fontId="2" fillId="0" borderId="3" xfId="0" applyNumberFormat="1" applyFont="1" applyBorder="1" applyAlignment="1" applyProtection="1">
      <alignment vertical="center" wrapText="1"/>
      <protection locked="0"/>
    </xf>
    <xf numFmtId="0" fontId="6" fillId="0" borderId="0" xfId="0" applyFont="1" applyAlignment="1">
      <alignment horizontal="left" vertical="center" wrapText="1" indent="3"/>
    </xf>
    <xf numFmtId="0" fontId="8" fillId="0" borderId="1" xfId="0" applyFont="1" applyBorder="1" applyAlignment="1">
      <alignment horizontal="center" vertical="center" wrapText="1"/>
    </xf>
    <xf numFmtId="0" fontId="6" fillId="0" borderId="7" xfId="0" applyFont="1" applyBorder="1" applyAlignment="1">
      <alignment vertical="center" wrapText="1"/>
    </xf>
    <xf numFmtId="0" fontId="6" fillId="0" borderId="11" xfId="0" applyFont="1" applyBorder="1" applyAlignment="1">
      <alignment vertical="center" wrapText="1"/>
    </xf>
    <xf numFmtId="0" fontId="6" fillId="0" borderId="11" xfId="0" applyFont="1" applyBorder="1" applyAlignment="1">
      <alignment horizontal="left" vertical="center" wrapText="1"/>
    </xf>
    <xf numFmtId="0" fontId="6" fillId="0" borderId="22" xfId="0" applyFont="1" applyBorder="1" applyAlignment="1">
      <alignment horizontal="left" vertical="center" wrapText="1"/>
    </xf>
    <xf numFmtId="0" fontId="10" fillId="0" borderId="2" xfId="0" applyFont="1" applyBorder="1" applyAlignment="1">
      <alignment vertical="center" wrapText="1"/>
    </xf>
    <xf numFmtId="0" fontId="6" fillId="0" borderId="10" xfId="0" applyFont="1" applyBorder="1" applyAlignment="1">
      <alignment vertical="center" wrapText="1"/>
    </xf>
    <xf numFmtId="0" fontId="6" fillId="0" borderId="1" xfId="0" applyFont="1" applyBorder="1" applyAlignment="1">
      <alignment vertical="center" wrapText="1"/>
    </xf>
    <xf numFmtId="0" fontId="6" fillId="0" borderId="20" xfId="0" applyFont="1" applyBorder="1" applyAlignment="1">
      <alignment vertical="center" wrapText="1"/>
    </xf>
    <xf numFmtId="0" fontId="10" fillId="0" borderId="11" xfId="0" applyFont="1" applyBorder="1" applyAlignment="1">
      <alignment vertical="center" wrapText="1"/>
    </xf>
    <xf numFmtId="0" fontId="0" fillId="0" borderId="0" xfId="0" applyAlignment="1">
      <alignment horizontal="center" vertical="center" wrapText="1"/>
    </xf>
    <xf numFmtId="0" fontId="10" fillId="0" borderId="0" xfId="0" applyFont="1" applyAlignment="1">
      <alignment vertical="top" wrapText="1"/>
    </xf>
    <xf numFmtId="0" fontId="0" fillId="0" borderId="1" xfId="0" applyBorder="1" applyAlignment="1">
      <alignment wrapText="1"/>
    </xf>
    <xf numFmtId="0" fontId="0" fillId="0" borderId="1" xfId="0" applyBorder="1" applyProtection="1">
      <protection locked="0"/>
    </xf>
    <xf numFmtId="0" fontId="0" fillId="0" borderId="1" xfId="0" applyBorder="1" applyAlignment="1" applyProtection="1">
      <alignment wrapText="1"/>
      <protection locked="0"/>
    </xf>
    <xf numFmtId="2" fontId="13" fillId="3" borderId="4" xfId="0" applyNumberFormat="1" applyFont="1" applyFill="1" applyBorder="1" applyAlignment="1">
      <alignment horizontal="center" vertical="center" wrapText="1"/>
    </xf>
    <xf numFmtId="0" fontId="9" fillId="0" borderId="3" xfId="0" applyFont="1" applyBorder="1" applyAlignment="1">
      <alignment horizontal="center" vertical="center" wrapText="1"/>
    </xf>
    <xf numFmtId="2" fontId="13" fillId="3" borderId="3"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2" fontId="0" fillId="0" borderId="1" xfId="0" applyNumberFormat="1" applyBorder="1" applyAlignment="1" applyProtection="1">
      <alignment horizontal="center" vertical="center"/>
      <protection locked="0"/>
    </xf>
    <xf numFmtId="2" fontId="0" fillId="0" borderId="1" xfId="0" applyNumberFormat="1" applyBorder="1" applyAlignment="1">
      <alignment horizontal="center" vertical="center"/>
    </xf>
    <xf numFmtId="2" fontId="0" fillId="0" borderId="1" xfId="0" quotePrefix="1" applyNumberFormat="1" applyBorder="1" applyAlignment="1">
      <alignment horizontal="center" vertical="center"/>
    </xf>
    <xf numFmtId="4" fontId="9" fillId="0" borderId="2" xfId="0" applyNumberFormat="1" applyFont="1" applyBorder="1" applyAlignment="1">
      <alignment horizontal="right" vertical="center" wrapText="1"/>
    </xf>
    <xf numFmtId="4" fontId="2" fillId="0" borderId="2" xfId="0" applyNumberFormat="1" applyFont="1" applyBorder="1" applyAlignment="1">
      <alignment vertical="center" wrapText="1"/>
    </xf>
    <xf numFmtId="2" fontId="0" fillId="0" borderId="1" xfId="0" applyNumberFormat="1" applyBorder="1" applyAlignment="1" applyProtection="1">
      <alignment horizontal="center" vertical="center" wrapText="1"/>
      <protection locked="0"/>
    </xf>
    <xf numFmtId="2" fontId="0" fillId="0" borderId="1" xfId="0" quotePrefix="1" applyNumberFormat="1" applyBorder="1" applyAlignment="1">
      <alignment horizontal="center" vertical="center" wrapText="1"/>
    </xf>
    <xf numFmtId="2" fontId="0" fillId="0" borderId="1" xfId="0" applyNumberFormat="1" applyBorder="1" applyAlignment="1">
      <alignment horizontal="center" vertical="center" wrapText="1"/>
    </xf>
    <xf numFmtId="0" fontId="6" fillId="0" borderId="0" xfId="0" applyFont="1" applyAlignment="1">
      <alignment horizontal="left" vertical="top" wrapText="1"/>
    </xf>
    <xf numFmtId="4" fontId="9" fillId="0" borderId="2" xfId="0" applyNumberFormat="1" applyFont="1" applyBorder="1" applyAlignment="1">
      <alignment horizontal="right" vertical="center"/>
    </xf>
    <xf numFmtId="0" fontId="2" fillId="0" borderId="10" xfId="0" applyFont="1" applyBorder="1" applyAlignment="1">
      <alignment vertical="top"/>
    </xf>
    <xf numFmtId="0" fontId="6" fillId="0" borderId="0" xfId="0" applyFont="1" applyAlignment="1">
      <alignment vertical="top" wrapText="1"/>
    </xf>
    <xf numFmtId="0" fontId="2" fillId="0" borderId="0" xfId="0" applyFont="1" applyAlignment="1">
      <alignment wrapText="1"/>
    </xf>
    <xf numFmtId="2" fontId="13" fillId="3" borderId="3" xfId="0" applyNumberFormat="1" applyFont="1" applyFill="1" applyBorder="1" applyAlignment="1">
      <alignment horizontal="center" vertical="center"/>
    </xf>
    <xf numFmtId="166" fontId="9" fillId="0" borderId="10" xfId="0" applyNumberFormat="1" applyFont="1" applyBorder="1" applyAlignment="1">
      <alignment vertical="top"/>
    </xf>
    <xf numFmtId="4" fontId="0" fillId="0" borderId="1" xfId="0" applyNumberFormat="1" applyBorder="1" applyAlignment="1" applyProtection="1">
      <alignment vertical="center"/>
      <protection locked="0"/>
    </xf>
    <xf numFmtId="4" fontId="6" fillId="0" borderId="1" xfId="0" applyNumberFormat="1" applyFont="1" applyBorder="1" applyAlignment="1" applyProtection="1">
      <alignment vertical="center"/>
      <protection locked="0"/>
    </xf>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14" fontId="6" fillId="0" borderId="7" xfId="0" applyNumberFormat="1" applyFont="1" applyBorder="1" applyAlignment="1">
      <alignment horizontal="center" vertical="center" wrapText="1"/>
    </xf>
    <xf numFmtId="14" fontId="6" fillId="0" borderId="5" xfId="0" applyNumberFormat="1" applyFont="1" applyBorder="1" applyAlignment="1">
      <alignment horizontal="center" vertical="center" wrapText="1"/>
    </xf>
    <xf numFmtId="1" fontId="6" fillId="0" borderId="7" xfId="0" applyNumberFormat="1" applyFont="1" applyBorder="1" applyAlignment="1" applyProtection="1">
      <alignment horizontal="center" vertical="center"/>
      <protection locked="0"/>
    </xf>
    <xf numFmtId="14" fontId="6" fillId="0" borderId="0" xfId="0" applyNumberFormat="1" applyFont="1" applyAlignment="1">
      <alignment horizontal="center" vertical="center" wrapText="1"/>
    </xf>
    <xf numFmtId="0" fontId="6" fillId="0" borderId="3" xfId="0" applyFont="1" applyBorder="1" applyAlignment="1">
      <alignment horizontal="center" wrapText="1"/>
    </xf>
    <xf numFmtId="49" fontId="0" fillId="0" borderId="1" xfId="0" applyNumberFormat="1" applyBorder="1" applyAlignment="1">
      <alignment vertical="center" wrapText="1"/>
    </xf>
    <xf numFmtId="0" fontId="0" fillId="0" borderId="0" xfId="0" applyAlignment="1">
      <alignment horizontal="left" vertical="top" wrapText="1"/>
    </xf>
    <xf numFmtId="0" fontId="5" fillId="0" borderId="0" xfId="0" applyFont="1" applyAlignment="1">
      <alignment horizontal="left"/>
    </xf>
    <xf numFmtId="0" fontId="10" fillId="0" borderId="0" xfId="0" applyFont="1"/>
    <xf numFmtId="0" fontId="15" fillId="0" borderId="0" xfId="0" applyFont="1"/>
    <xf numFmtId="4" fontId="10" fillId="0" borderId="0" xfId="0" applyNumberFormat="1" applyFont="1"/>
    <xf numFmtId="4" fontId="10" fillId="0" borderId="0" xfId="0" applyNumberFormat="1" applyFont="1" applyAlignment="1">
      <alignment horizontal="right"/>
    </xf>
    <xf numFmtId="4" fontId="5" fillId="0" borderId="0" xfId="0" applyNumberFormat="1" applyFont="1"/>
    <xf numFmtId="4" fontId="3" fillId="0" borderId="0" xfId="0" applyNumberFormat="1" applyFont="1" applyAlignment="1">
      <alignment horizontal="center"/>
    </xf>
    <xf numFmtId="0" fontId="0" fillId="0" borderId="0" xfId="0" applyAlignment="1">
      <alignment vertical="top" wrapText="1"/>
    </xf>
    <xf numFmtId="4" fontId="2" fillId="0" borderId="4" xfId="0" applyNumberFormat="1" applyFont="1" applyBorder="1" applyAlignment="1" applyProtection="1">
      <alignment vertical="center" wrapText="1"/>
      <protection locked="0"/>
    </xf>
    <xf numFmtId="169" fontId="9" fillId="0" borderId="4" xfId="0" applyNumberFormat="1" applyFont="1" applyBorder="1" applyAlignment="1">
      <alignment horizontal="center" vertical="center" wrapText="1"/>
    </xf>
    <xf numFmtId="166" fontId="7" fillId="0" borderId="4" xfId="0" applyNumberFormat="1" applyFont="1" applyBorder="1" applyAlignment="1">
      <alignment horizontal="center" vertical="center" wrapText="1"/>
    </xf>
    <xf numFmtId="169" fontId="7" fillId="0" borderId="4" xfId="0" applyNumberFormat="1" applyFont="1" applyBorder="1" applyAlignment="1">
      <alignment horizontal="center" vertical="center" wrapText="1"/>
    </xf>
    <xf numFmtId="169" fontId="7" fillId="0" borderId="2" xfId="0" applyNumberFormat="1" applyFont="1" applyBorder="1" applyAlignment="1">
      <alignment horizontal="center" vertical="center" wrapText="1"/>
    </xf>
    <xf numFmtId="165" fontId="7" fillId="0" borderId="4" xfId="0" applyNumberFormat="1" applyFont="1" applyBorder="1" applyAlignment="1">
      <alignment horizontal="center" vertical="center" wrapText="1"/>
    </xf>
    <xf numFmtId="0" fontId="7" fillId="0" borderId="10" xfId="0" applyFont="1" applyBorder="1" applyAlignment="1">
      <alignment horizontal="center" vertical="center" wrapText="1"/>
    </xf>
    <xf numFmtId="14" fontId="0" fillId="0" borderId="0" xfId="0" applyNumberFormat="1"/>
    <xf numFmtId="2" fontId="0" fillId="0" borderId="0" xfId="0" applyNumberFormat="1" applyAlignment="1">
      <alignment vertical="center" wrapText="1"/>
    </xf>
    <xf numFmtId="14" fontId="6" fillId="0" borderId="1" xfId="0" applyNumberFormat="1" applyFont="1" applyBorder="1" applyAlignment="1">
      <alignment horizontal="center" vertical="center" wrapText="1"/>
    </xf>
    <xf numFmtId="14" fontId="6" fillId="0" borderId="2" xfId="0" applyNumberFormat="1" applyFont="1" applyBorder="1" applyAlignment="1">
      <alignment horizontal="center" vertical="top" wrapText="1"/>
    </xf>
    <xf numFmtId="0" fontId="2" fillId="0" borderId="12" xfId="0" applyFont="1" applyBorder="1" applyAlignment="1">
      <alignment vertical="center"/>
    </xf>
    <xf numFmtId="0" fontId="5" fillId="0" borderId="1" xfId="0" applyFont="1" applyBorder="1" applyAlignment="1">
      <alignment vertical="center" wrapText="1"/>
    </xf>
    <xf numFmtId="0" fontId="5" fillId="0" borderId="1" xfId="0" applyFont="1" applyBorder="1" applyAlignment="1">
      <alignment horizontal="left" vertical="center" wrapText="1"/>
    </xf>
    <xf numFmtId="0" fontId="0" fillId="0" borderId="12" xfId="0" applyBorder="1"/>
    <xf numFmtId="1" fontId="5" fillId="0" borderId="4" xfId="0" applyNumberFormat="1" applyFont="1" applyBorder="1" applyAlignment="1">
      <alignment vertical="center" wrapText="1"/>
    </xf>
    <xf numFmtId="0" fontId="5" fillId="0" borderId="6" xfId="0" applyFont="1" applyBorder="1" applyAlignment="1">
      <alignment vertical="center" wrapText="1"/>
    </xf>
    <xf numFmtId="3" fontId="9" fillId="0" borderId="4" xfId="0" applyNumberFormat="1" applyFont="1" applyBorder="1" applyAlignment="1">
      <alignment vertical="center" wrapText="1"/>
    </xf>
    <xf numFmtId="3" fontId="9" fillId="0" borderId="4" xfId="0" quotePrefix="1" applyNumberFormat="1" applyFont="1" applyBorder="1" applyAlignment="1">
      <alignment vertical="center"/>
    </xf>
    <xf numFmtId="164" fontId="9" fillId="0" borderId="4" xfId="0" applyNumberFormat="1" applyFont="1" applyBorder="1" applyAlignment="1" applyProtection="1">
      <alignment vertical="center"/>
      <protection locked="0"/>
    </xf>
    <xf numFmtId="4" fontId="26" fillId="4" borderId="1" xfId="0" applyNumberFormat="1" applyFont="1" applyFill="1" applyBorder="1" applyAlignment="1">
      <alignment horizontal="center" vertical="center" wrapText="1"/>
    </xf>
    <xf numFmtId="0" fontId="6" fillId="0" borderId="12" xfId="0" applyFont="1" applyBorder="1" applyAlignment="1">
      <alignment horizontal="center" vertical="center" wrapText="1"/>
    </xf>
    <xf numFmtId="0" fontId="6" fillId="0" borderId="0" xfId="0" applyFont="1" applyAlignment="1">
      <alignment horizontal="right" vertical="top" wrapText="1"/>
    </xf>
    <xf numFmtId="0" fontId="2" fillId="0" borderId="0" xfId="0" applyFont="1" applyAlignment="1">
      <alignment vertical="center"/>
    </xf>
    <xf numFmtId="166" fontId="2" fillId="0" borderId="3" xfId="0" applyNumberFormat="1" applyFont="1" applyBorder="1" applyAlignment="1">
      <alignment vertical="top"/>
    </xf>
    <xf numFmtId="4" fontId="2" fillId="0" borderId="1" xfId="0" applyNumberFormat="1" applyFont="1" applyBorder="1" applyAlignment="1">
      <alignment vertical="center" wrapText="1"/>
    </xf>
    <xf numFmtId="0" fontId="0" fillId="0" borderId="10" xfId="0" applyBorder="1"/>
    <xf numFmtId="0" fontId="1" fillId="0" borderId="12" xfId="0" applyFont="1" applyBorder="1" applyAlignment="1">
      <alignment vertical="center"/>
    </xf>
    <xf numFmtId="3" fontId="9" fillId="0" borderId="3" xfId="0" applyNumberFormat="1" applyFont="1" applyBorder="1" applyAlignment="1">
      <alignment vertical="center"/>
    </xf>
    <xf numFmtId="0" fontId="1" fillId="0" borderId="0" xfId="0" applyFont="1" applyAlignment="1">
      <alignment vertical="center"/>
    </xf>
    <xf numFmtId="4" fontId="19" fillId="0" borderId="3" xfId="0" applyNumberFormat="1" applyFont="1" applyBorder="1" applyAlignment="1">
      <alignment horizontal="center" vertical="center" wrapText="1"/>
    </xf>
    <xf numFmtId="4" fontId="19" fillId="0" borderId="3" xfId="0" applyNumberFormat="1" applyFont="1" applyBorder="1" applyAlignment="1">
      <alignment vertical="center"/>
    </xf>
    <xf numFmtId="0" fontId="9" fillId="0" borderId="2" xfId="0" applyFont="1" applyBorder="1" applyAlignment="1">
      <alignment vertical="center"/>
    </xf>
    <xf numFmtId="0" fontId="6" fillId="0" borderId="1" xfId="0" applyFont="1" applyBorder="1" applyAlignment="1">
      <alignment wrapText="1"/>
    </xf>
    <xf numFmtId="164" fontId="9" fillId="0" borderId="4" xfId="0" applyNumberFormat="1" applyFont="1" applyBorder="1" applyAlignment="1">
      <alignment vertical="center"/>
    </xf>
    <xf numFmtId="164" fontId="9" fillId="0" borderId="4" xfId="0" applyNumberFormat="1" applyFont="1" applyBorder="1" applyAlignment="1">
      <alignment vertical="center" wrapText="1"/>
    </xf>
    <xf numFmtId="0" fontId="6" fillId="0" borderId="8" xfId="0" applyFont="1" applyBorder="1" applyAlignment="1">
      <alignment vertical="center" wrapText="1"/>
    </xf>
    <xf numFmtId="2" fontId="6" fillId="0" borderId="0" xfId="0" applyNumberFormat="1" applyFont="1" applyAlignment="1">
      <alignment horizontal="center" vertical="center" wrapText="1"/>
    </xf>
    <xf numFmtId="0" fontId="6" fillId="0" borderId="0" xfId="0" applyFont="1" applyAlignment="1">
      <alignment horizontal="center" wrapText="1"/>
    </xf>
    <xf numFmtId="2" fontId="6" fillId="0" borderId="0" xfId="0" applyNumberFormat="1" applyFont="1" applyAlignment="1">
      <alignment horizontal="center" vertical="top" wrapText="1"/>
    </xf>
    <xf numFmtId="14" fontId="6" fillId="0" borderId="0" xfId="0" applyNumberFormat="1" applyFont="1" applyAlignment="1">
      <alignment horizontal="center" vertical="top" wrapText="1"/>
    </xf>
    <xf numFmtId="0" fontId="6" fillId="0" borderId="24" xfId="0" applyFont="1" applyBorder="1"/>
    <xf numFmtId="4" fontId="0" fillId="0" borderId="1" xfId="0" applyNumberFormat="1" applyBorder="1" applyAlignment="1">
      <alignment vertical="center" wrapText="1"/>
    </xf>
    <xf numFmtId="0" fontId="0" fillId="0" borderId="20" xfId="0" applyBorder="1" applyAlignment="1">
      <alignment vertical="center" wrapText="1"/>
    </xf>
    <xf numFmtId="0" fontId="8" fillId="0" borderId="1" xfId="0" applyFont="1" applyBorder="1"/>
    <xf numFmtId="0" fontId="6" fillId="0" borderId="0" xfId="0" applyFont="1" applyAlignment="1">
      <alignment horizontal="left" vertical="center" wrapText="1" indent="3"/>
    </xf>
    <xf numFmtId="0" fontId="6" fillId="0" borderId="7" xfId="0" applyFont="1" applyBorder="1" applyAlignment="1">
      <alignment horizontal="left" vertical="center"/>
    </xf>
    <xf numFmtId="0" fontId="6" fillId="0" borderId="5" xfId="0" applyFont="1" applyBorder="1" applyAlignment="1">
      <alignment horizontal="left" vertical="center"/>
    </xf>
    <xf numFmtId="0" fontId="6" fillId="0" borderId="0" xfId="2" applyFont="1" applyAlignment="1">
      <alignment horizontal="left" vertical="center" wrapText="1"/>
    </xf>
    <xf numFmtId="0" fontId="6" fillId="0" borderId="0" xfId="0" applyFont="1" applyAlignment="1">
      <alignment horizontal="left" vertical="center" wrapText="1" indent="1"/>
    </xf>
    <xf numFmtId="0" fontId="6" fillId="0" borderId="14"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left" vertical="top" wrapText="1"/>
    </xf>
    <xf numFmtId="0" fontId="6" fillId="0" borderId="7" xfId="0" applyFont="1" applyBorder="1" applyAlignment="1">
      <alignment horizontal="left" vertical="center" wrapText="1"/>
    </xf>
    <xf numFmtId="0" fontId="6" fillId="0" borderId="5" xfId="0" applyFont="1" applyBorder="1" applyAlignment="1">
      <alignment horizontal="left" vertical="center" wrapText="1"/>
    </xf>
    <xf numFmtId="0" fontId="6" fillId="0" borderId="14" xfId="0" applyFont="1" applyBorder="1" applyAlignment="1">
      <alignment horizontal="left" vertical="center" wrapText="1"/>
    </xf>
    <xf numFmtId="0" fontId="6" fillId="0" borderId="13" xfId="0" applyFont="1" applyBorder="1" applyAlignment="1">
      <alignment horizontal="left" vertical="center" wrapText="1"/>
    </xf>
    <xf numFmtId="0" fontId="6" fillId="0" borderId="11" xfId="0" applyFont="1" applyBorder="1" applyAlignment="1">
      <alignment horizontal="left" vertical="center" wrapText="1"/>
    </xf>
    <xf numFmtId="0" fontId="6" fillId="0" borderId="6" xfId="0" applyFont="1" applyBorder="1" applyAlignment="1">
      <alignment horizontal="left" vertical="center" wrapText="1"/>
    </xf>
    <xf numFmtId="14" fontId="6" fillId="0" borderId="7" xfId="0" applyNumberFormat="1" applyFont="1" applyBorder="1" applyAlignment="1">
      <alignment horizontal="center" vertical="center" wrapText="1"/>
    </xf>
    <xf numFmtId="14" fontId="6" fillId="0" borderId="5" xfId="0" applyNumberFormat="1" applyFont="1" applyBorder="1" applyAlignment="1">
      <alignment horizontal="center" vertical="center" wrapText="1"/>
    </xf>
    <xf numFmtId="14" fontId="6" fillId="0" borderId="14" xfId="0" applyNumberFormat="1" applyFont="1" applyBorder="1" applyAlignment="1">
      <alignment horizontal="center" vertical="center" wrapText="1"/>
    </xf>
    <xf numFmtId="14" fontId="6" fillId="0" borderId="13" xfId="0" applyNumberFormat="1" applyFont="1" applyBorder="1" applyAlignment="1">
      <alignment horizontal="center" vertical="center" wrapText="1"/>
    </xf>
    <xf numFmtId="14" fontId="6" fillId="0" borderId="11" xfId="0" applyNumberFormat="1" applyFont="1" applyBorder="1" applyAlignment="1">
      <alignment horizontal="center" vertical="center" wrapText="1"/>
    </xf>
    <xf numFmtId="14" fontId="6" fillId="0" borderId="6" xfId="0" applyNumberFormat="1" applyFont="1" applyBorder="1" applyAlignment="1">
      <alignment horizontal="center" vertical="center" wrapText="1"/>
    </xf>
    <xf numFmtId="14" fontId="6" fillId="0" borderId="14" xfId="0" applyNumberFormat="1" applyFont="1" applyBorder="1" applyAlignment="1" applyProtection="1">
      <alignment horizontal="center" vertical="center" wrapText="1"/>
      <protection locked="0"/>
    </xf>
    <xf numFmtId="14" fontId="6" fillId="0" borderId="13" xfId="0" applyNumberFormat="1" applyFont="1" applyBorder="1" applyAlignment="1" applyProtection="1">
      <alignment horizontal="center" vertical="center" wrapText="1"/>
      <protection locked="0"/>
    </xf>
    <xf numFmtId="14" fontId="6" fillId="0" borderId="11" xfId="0" applyNumberFormat="1" applyFont="1" applyBorder="1" applyAlignment="1" applyProtection="1">
      <alignment horizontal="center" vertical="center" wrapText="1"/>
      <protection locked="0"/>
    </xf>
    <xf numFmtId="14" fontId="6" fillId="0" borderId="6" xfId="0" applyNumberFormat="1" applyFont="1" applyBorder="1" applyAlignment="1" applyProtection="1">
      <alignment horizontal="center" vertical="center" wrapText="1"/>
      <protection locked="0"/>
    </xf>
    <xf numFmtId="0" fontId="6" fillId="0" borderId="16" xfId="0" applyFont="1" applyBorder="1" applyAlignment="1">
      <alignment horizontal="left" vertical="center" wrapText="1" indent="1"/>
    </xf>
    <xf numFmtId="0" fontId="6" fillId="0" borderId="17" xfId="0" applyFont="1" applyBorder="1" applyAlignment="1">
      <alignment horizontal="left" vertical="center" wrapText="1" indent="1"/>
    </xf>
    <xf numFmtId="0" fontId="6" fillId="0" borderId="18" xfId="0" applyFont="1" applyBorder="1" applyAlignment="1">
      <alignment horizontal="left" vertical="center" wrapText="1" indent="1"/>
    </xf>
    <xf numFmtId="0" fontId="6" fillId="0" borderId="19" xfId="0" applyFont="1" applyBorder="1" applyAlignment="1">
      <alignment horizontal="left" vertical="center" wrapText="1" indent="1"/>
    </xf>
    <xf numFmtId="0" fontId="20" fillId="0" borderId="14"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6"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2" xfId="0" applyFont="1" applyBorder="1" applyAlignment="1">
      <alignment horizontal="center" vertical="center" wrapText="1"/>
    </xf>
    <xf numFmtId="0" fontId="0" fillId="0" borderId="0" xfId="0" applyAlignment="1">
      <alignment horizontal="left" vertical="top"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5" xfId="0" applyFont="1" applyBorder="1" applyAlignment="1">
      <alignment horizontal="left" vertical="center" wrapText="1"/>
    </xf>
    <xf numFmtId="0" fontId="3" fillId="0" borderId="7" xfId="0" applyFont="1" applyBorder="1" applyAlignment="1">
      <alignment vertical="center" wrapText="1"/>
    </xf>
    <xf numFmtId="0" fontId="5" fillId="0" borderId="8" xfId="0" applyFont="1" applyBorder="1" applyAlignment="1">
      <alignment vertical="center" wrapText="1"/>
    </xf>
    <xf numFmtId="0" fontId="5" fillId="0" borderId="5" xfId="0" applyFont="1" applyBorder="1" applyAlignment="1">
      <alignment vertical="center" wrapText="1"/>
    </xf>
    <xf numFmtId="4" fontId="3" fillId="0" borderId="7" xfId="0" applyNumberFormat="1" applyFont="1" applyBorder="1" applyAlignment="1">
      <alignment horizontal="center" vertical="center" wrapText="1"/>
    </xf>
    <xf numFmtId="4" fontId="3" fillId="0" borderId="5" xfId="0" applyNumberFormat="1" applyFont="1" applyBorder="1" applyAlignment="1">
      <alignment horizontal="center" vertical="center" wrapText="1"/>
    </xf>
    <xf numFmtId="0" fontId="3" fillId="0" borderId="7" xfId="0" applyFont="1" applyBorder="1" applyAlignment="1">
      <alignment horizontal="left" vertical="center" wrapText="1" indent="3"/>
    </xf>
    <xf numFmtId="0" fontId="3" fillId="0" borderId="8" xfId="0" applyFont="1" applyBorder="1" applyAlignment="1">
      <alignment horizontal="left" vertical="center" wrapText="1" indent="3"/>
    </xf>
    <xf numFmtId="0" fontId="3" fillId="0" borderId="5" xfId="0" applyFont="1" applyBorder="1" applyAlignment="1">
      <alignment horizontal="left" vertical="center" wrapText="1" indent="3"/>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5" xfId="0" applyFont="1" applyFill="1" applyBorder="1" applyAlignment="1">
      <alignment horizontal="center" vertical="center"/>
    </xf>
    <xf numFmtId="4" fontId="3" fillId="4" borderId="7" xfId="0" applyNumberFormat="1" applyFont="1" applyFill="1" applyBorder="1" applyAlignment="1">
      <alignment horizontal="center" vertical="center"/>
    </xf>
    <xf numFmtId="4" fontId="3" fillId="4" borderId="8" xfId="0" applyNumberFormat="1" applyFont="1" applyFill="1" applyBorder="1" applyAlignment="1">
      <alignment horizontal="center" vertical="center"/>
    </xf>
    <xf numFmtId="4" fontId="3" fillId="4" borderId="5" xfId="0" applyNumberFormat="1" applyFont="1" applyFill="1" applyBorder="1" applyAlignment="1">
      <alignment horizontal="center" vertical="center"/>
    </xf>
    <xf numFmtId="0" fontId="5" fillId="0" borderId="14" xfId="0" applyFont="1" applyBorder="1" applyAlignment="1">
      <alignment horizontal="left"/>
    </xf>
    <xf numFmtId="0" fontId="5" fillId="0" borderId="12" xfId="0" applyFont="1" applyBorder="1" applyAlignment="1">
      <alignment horizontal="left"/>
    </xf>
    <xf numFmtId="0" fontId="5" fillId="0" borderId="11" xfId="0" applyFont="1" applyBorder="1" applyAlignment="1">
      <alignment horizontal="left"/>
    </xf>
    <xf numFmtId="0" fontId="5" fillId="0" borderId="9" xfId="0" applyFont="1" applyBorder="1" applyAlignment="1">
      <alignment horizontal="left"/>
    </xf>
    <xf numFmtId="0" fontId="1" fillId="0" borderId="0" xfId="0" applyFont="1" applyAlignment="1">
      <alignment horizontal="left" vertical="top" wrapText="1"/>
    </xf>
    <xf numFmtId="0" fontId="8" fillId="4" borderId="7"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5" xfId="0" applyFont="1" applyFill="1" applyBorder="1" applyAlignment="1">
      <alignment horizontal="center" vertical="center"/>
    </xf>
    <xf numFmtId="4" fontId="8" fillId="4" borderId="7" xfId="0" applyNumberFormat="1" applyFont="1" applyFill="1" applyBorder="1" applyAlignment="1">
      <alignment horizontal="center" vertical="center"/>
    </xf>
    <xf numFmtId="4" fontId="8" fillId="4" borderId="5" xfId="0" applyNumberFormat="1" applyFont="1" applyFill="1" applyBorder="1" applyAlignment="1">
      <alignment horizontal="center" vertical="center"/>
    </xf>
    <xf numFmtId="0" fontId="8" fillId="0" borderId="7" xfId="0" applyFont="1" applyBorder="1" applyAlignment="1">
      <alignment wrapText="1"/>
    </xf>
    <xf numFmtId="0" fontId="10" fillId="0" borderId="8" xfId="0" applyFont="1" applyBorder="1" applyAlignment="1">
      <alignment wrapTex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5" xfId="0" applyFont="1" applyBorder="1" applyAlignment="1">
      <alignment horizontal="left" vertical="center" wrapText="1" indent="1"/>
    </xf>
    <xf numFmtId="4" fontId="5" fillId="0" borderId="13" xfId="0" applyNumberFormat="1" applyFont="1" applyBorder="1" applyAlignment="1">
      <alignment vertical="center"/>
    </xf>
    <xf numFmtId="0" fontId="5" fillId="0" borderId="6" xfId="0" applyFont="1" applyBorder="1" applyAlignment="1">
      <alignment vertical="center"/>
    </xf>
    <xf numFmtId="0" fontId="10" fillId="0" borderId="7" xfId="0" applyFont="1" applyBorder="1" applyAlignment="1">
      <alignment horizontal="left" vertical="center" wrapText="1"/>
    </xf>
    <xf numFmtId="0" fontId="10" fillId="0" borderId="8" xfId="0" applyFont="1" applyBorder="1" applyAlignment="1">
      <alignment horizontal="left" vertical="center"/>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5" fillId="0" borderId="8" xfId="0" applyFont="1" applyBorder="1" applyAlignment="1">
      <alignment horizontal="left" vertical="center"/>
    </xf>
    <xf numFmtId="0" fontId="8" fillId="0" borderId="7" xfId="0" applyFont="1" applyBorder="1" applyAlignment="1">
      <alignment vertical="center" wrapText="1"/>
    </xf>
    <xf numFmtId="0" fontId="10" fillId="0" borderId="8" xfId="0" applyFont="1" applyBorder="1" applyAlignment="1">
      <alignment vertical="center" wrapText="1"/>
    </xf>
    <xf numFmtId="4" fontId="10" fillId="0" borderId="13" xfId="0" applyNumberFormat="1" applyFont="1" applyBorder="1" applyAlignment="1">
      <alignment vertical="center"/>
    </xf>
    <xf numFmtId="0" fontId="10" fillId="0" borderId="6" xfId="0" applyFont="1" applyBorder="1" applyAlignment="1">
      <alignment vertical="center"/>
    </xf>
    <xf numFmtId="0" fontId="21" fillId="0" borderId="16"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5" fillId="0" borderId="3" xfId="0" applyFont="1" applyBorder="1" applyAlignment="1">
      <alignment horizontal="center" vertical="center"/>
    </xf>
    <xf numFmtId="0" fontId="5" fillId="0" borderId="2" xfId="0" applyFont="1" applyBorder="1" applyAlignment="1">
      <alignment vertical="center"/>
    </xf>
    <xf numFmtId="0" fontId="5" fillId="0" borderId="8" xfId="0" applyFont="1" applyBorder="1" applyAlignment="1">
      <alignment horizontal="center" vertical="center"/>
    </xf>
    <xf numFmtId="0" fontId="5" fillId="0" borderId="5" xfId="0" applyFont="1" applyBorder="1" applyAlignment="1">
      <alignment horizontal="center" vertical="center"/>
    </xf>
  </cellXfs>
  <cellStyles count="8">
    <cellStyle name="Dezimal 2" xfId="3" xr:uid="{73AF26A8-90CD-4A25-9F0A-363B9819B177}"/>
    <cellStyle name="Dezimal 2 2" xfId="7" xr:uid="{CD255989-246C-45DA-B269-B8BC086BE3BC}"/>
    <cellStyle name="Euro" xfId="4" xr:uid="{7F9C9190-F6EA-4E8C-8610-1249694CAB73}"/>
    <cellStyle name="Komma 2" xfId="5" xr:uid="{5E9DC291-7188-4F57-A10E-36DA7DBFB91E}"/>
    <cellStyle name="Standard" xfId="0" builtinId="0"/>
    <cellStyle name="Standard 2" xfId="1" xr:uid="{00000000-0005-0000-0000-000001000000}"/>
    <cellStyle name="Standard 2 2" xfId="6" xr:uid="{26947634-E569-4A17-A2EA-C06F24DD050B}"/>
    <cellStyle name="Standard 3" xfId="2" xr:uid="{37D0DC60-47CF-4E4E-BC33-577D8D5A06D5}"/>
  </cellStyles>
  <dxfs count="8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rgb="FFFF0000"/>
          <bgColor rgb="FFFFFF00"/>
        </patternFill>
      </fill>
    </dxf>
    <dxf>
      <fill>
        <patternFill>
          <bgColor rgb="FFFFFF00"/>
        </patternFill>
      </fill>
    </dxf>
    <dxf>
      <fill>
        <patternFill patternType="lightUp">
          <fgColor rgb="FFFF0000"/>
        </patternFill>
      </fill>
    </dxf>
    <dxf>
      <fill>
        <patternFill>
          <bgColor rgb="FFFFFF00"/>
        </patternFill>
      </fill>
    </dxf>
    <dxf>
      <fill>
        <patternFill patternType="lightUp">
          <fgColor rgb="FFFF00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bgColor rgb="FFFFFF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bgColor rgb="FFFFFF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bgColor rgb="FFFFFF00"/>
        </patternFill>
      </fill>
    </dxf>
    <dxf>
      <fill>
        <patternFill>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bgColor rgb="FFFFFF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Up">
          <fgColor rgb="FFFF00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bgColor rgb="FFFFFF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bgColor rgb="FFFFFF00"/>
        </patternFill>
      </fill>
    </dxf>
    <dxf>
      <fill>
        <patternFill>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bgColor rgb="FFFFFF00"/>
        </patternFill>
      </fill>
    </dxf>
    <dxf>
      <fill>
        <patternFill>
          <bgColor rgb="FFFFFF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Up">
          <fgColor rgb="FFFF00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bgColor rgb="FFFFFF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bgColor rgb="FFFFFF00"/>
        </patternFill>
      </fill>
    </dxf>
    <dxf>
      <fill>
        <patternFill>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patternType="solid">
          <fgColor rgb="FFFF0000"/>
          <bgColor rgb="FFFFFF00"/>
        </patternFill>
      </fill>
    </dxf>
    <dxf>
      <fill>
        <patternFill>
          <bgColor rgb="FFFFFF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bgColor rgb="FFFFFF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bgColor rgb="FFFFFF00"/>
        </patternFill>
      </fill>
    </dxf>
    <dxf>
      <fill>
        <patternFill>
          <bgColor rgb="FFFFFF00"/>
        </patternFill>
      </fill>
    </dxf>
    <dxf>
      <fill>
        <patternFill patternType="solid">
          <fgColor rgb="FFFF0000"/>
          <bgColor rgb="FFFFFF00"/>
        </patternFill>
      </fill>
    </dxf>
    <dxf>
      <fill>
        <patternFill patternType="lightDown">
          <fgColor theme="5"/>
        </patternFill>
      </fill>
      <border>
        <left style="thin">
          <color theme="5"/>
        </left>
        <right style="thin">
          <color theme="5"/>
        </right>
        <top style="thin">
          <color theme="5"/>
        </top>
        <bottom style="thin">
          <color theme="5"/>
        </bottom>
        <vertical/>
        <horizontal/>
      </border>
    </dxf>
    <dxf>
      <fill>
        <patternFill patternType="lightDown">
          <fgColor theme="5"/>
        </patternFill>
      </fill>
      <border>
        <left style="thin">
          <color theme="5"/>
        </left>
        <right style="thin">
          <color theme="5"/>
        </right>
        <top style="thin">
          <color theme="5"/>
        </top>
        <bottom style="thin">
          <color theme="5"/>
        </bottom>
        <vertical/>
        <horizontal/>
      </border>
    </dxf>
    <dxf>
      <fill>
        <patternFill>
          <bgColor rgb="FFFFFF00"/>
        </patternFill>
      </fill>
    </dxf>
    <dxf>
      <fill>
        <patternFill patternType="solid">
          <fgColor rgb="FFFF0000"/>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85629-11CE-4B64-91D7-F41750C530B4}">
  <sheetPr>
    <tabColor theme="6"/>
  </sheetPr>
  <dimension ref="A1:J97"/>
  <sheetViews>
    <sheetView showGridLines="0" tabSelected="1" view="pageBreakPreview" topLeftCell="A35" zoomScale="91" zoomScaleNormal="100" zoomScaleSheetLayoutView="91" zoomScalePageLayoutView="90" workbookViewId="0">
      <selection activeCell="F53" sqref="F53"/>
    </sheetView>
  </sheetViews>
  <sheetFormatPr baseColWidth="10" defaultColWidth="11.25" defaultRowHeight="14.25"/>
  <cols>
    <col min="1" max="1" width="10.125" style="1" customWidth="1"/>
    <col min="2" max="2" width="18" style="1" customWidth="1"/>
    <col min="3" max="3" width="15.5" style="1" customWidth="1"/>
    <col min="4" max="4" width="15.25" style="1" customWidth="1"/>
    <col min="5" max="5" width="12.625" style="1" customWidth="1"/>
    <col min="6" max="6" width="17" style="28" customWidth="1"/>
    <col min="7" max="7" width="12.75" style="28" customWidth="1"/>
    <col min="8" max="8" width="21" style="28" customWidth="1"/>
    <col min="9" max="9" width="10.375" style="28" customWidth="1"/>
  </cols>
  <sheetData>
    <row r="1" spans="1:9" ht="7.5" customHeight="1"/>
    <row r="2" spans="1:9" s="4" customFormat="1" ht="17.25" customHeight="1">
      <c r="A2" s="132" t="s">
        <v>107</v>
      </c>
      <c r="B2" s="133"/>
      <c r="C2" s="133"/>
      <c r="D2" s="133"/>
      <c r="E2" s="133"/>
      <c r="F2" s="133"/>
      <c r="G2" s="133"/>
      <c r="H2" s="133"/>
      <c r="I2" s="133"/>
    </row>
    <row r="3" spans="1:9" s="5" customFormat="1" ht="17.25" customHeight="1">
      <c r="A3" s="133"/>
      <c r="B3" s="133"/>
      <c r="C3" s="133"/>
      <c r="D3" s="133"/>
      <c r="E3" s="133"/>
      <c r="F3" s="133"/>
      <c r="G3" s="133"/>
      <c r="H3" s="133"/>
      <c r="I3" s="133"/>
    </row>
    <row r="4" spans="1:9" s="4" customFormat="1" ht="33.75" customHeight="1">
      <c r="A4" s="132" t="s">
        <v>108</v>
      </c>
      <c r="B4" s="134"/>
      <c r="C4" s="134"/>
      <c r="D4" s="134"/>
      <c r="E4" s="134"/>
      <c r="F4" s="134"/>
      <c r="G4" s="133"/>
      <c r="H4" s="133"/>
      <c r="I4" s="133"/>
    </row>
    <row r="5" spans="1:9" s="3" customFormat="1" ht="33.75" customHeight="1">
      <c r="A5" s="359" t="s">
        <v>109</v>
      </c>
      <c r="B5" s="360"/>
      <c r="C5" s="360"/>
      <c r="D5" s="360"/>
      <c r="E5" s="360"/>
      <c r="F5" s="361"/>
      <c r="G5" s="146"/>
      <c r="H5" s="146"/>
    </row>
    <row r="6" spans="1:9" s="3" customFormat="1" ht="33.75" customHeight="1">
      <c r="A6" s="362" t="s">
        <v>258</v>
      </c>
      <c r="B6" s="362"/>
      <c r="C6" s="362"/>
      <c r="D6" s="362"/>
      <c r="E6" s="362"/>
      <c r="F6" s="362"/>
      <c r="G6" s="146"/>
      <c r="H6" s="146"/>
    </row>
    <row r="7" spans="1:9" s="3" customFormat="1" ht="40.5" customHeight="1">
      <c r="A7" s="339" t="s">
        <v>178</v>
      </c>
      <c r="B7" s="339"/>
      <c r="C7" s="339"/>
      <c r="D7" s="339"/>
      <c r="E7" s="339"/>
      <c r="F7" s="339"/>
      <c r="G7" s="147"/>
      <c r="H7" s="147"/>
      <c r="I7" s="134"/>
    </row>
    <row r="8" spans="1:9" s="3" customFormat="1" ht="30" customHeight="1">
      <c r="A8" s="335" t="s">
        <v>320</v>
      </c>
      <c r="B8" s="335"/>
      <c r="C8" s="335"/>
      <c r="D8" s="335"/>
      <c r="E8" s="335"/>
      <c r="F8" s="335"/>
      <c r="G8" s="135"/>
      <c r="H8" s="135"/>
      <c r="I8" s="134"/>
    </row>
    <row r="9" spans="1:9" s="3" customFormat="1" ht="20.25" customHeight="1">
      <c r="A9" s="335" t="s">
        <v>110</v>
      </c>
      <c r="B9" s="335"/>
      <c r="C9" s="335"/>
      <c r="D9" s="335"/>
      <c r="E9" s="335"/>
      <c r="F9" s="335"/>
      <c r="G9" s="135"/>
      <c r="H9" s="135"/>
      <c r="I9" s="134"/>
    </row>
    <row r="10" spans="1:9" s="3" customFormat="1" ht="20.25" customHeight="1">
      <c r="A10" s="335" t="s">
        <v>111</v>
      </c>
      <c r="B10" s="335"/>
      <c r="C10" s="335"/>
      <c r="D10" s="335"/>
      <c r="E10" s="335"/>
      <c r="F10" s="335"/>
      <c r="G10" s="135"/>
      <c r="H10" s="135"/>
      <c r="I10" s="134"/>
    </row>
    <row r="11" spans="1:9" s="3" customFormat="1" ht="20.25" customHeight="1">
      <c r="A11" s="335" t="s">
        <v>112</v>
      </c>
      <c r="B11" s="335"/>
      <c r="C11" s="335"/>
      <c r="D11" s="335"/>
      <c r="E11" s="335"/>
      <c r="F11" s="335"/>
      <c r="G11" s="135"/>
      <c r="H11" s="135"/>
      <c r="I11" s="134"/>
    </row>
    <row r="12" spans="1:9" s="3" customFormat="1" ht="44.25" customHeight="1">
      <c r="A12" s="335" t="s">
        <v>179</v>
      </c>
      <c r="B12" s="335"/>
      <c r="C12" s="335"/>
      <c r="D12" s="335"/>
      <c r="E12" s="335"/>
      <c r="F12" s="335"/>
      <c r="G12" s="135"/>
      <c r="H12" s="135"/>
      <c r="I12" s="136"/>
    </row>
    <row r="13" spans="1:9" s="3" customFormat="1" ht="27.75" customHeight="1">
      <c r="A13" s="335" t="s">
        <v>319</v>
      </c>
      <c r="B13" s="335"/>
      <c r="C13" s="335"/>
      <c r="D13" s="335"/>
      <c r="E13" s="335"/>
      <c r="F13" s="335"/>
      <c r="G13" s="135"/>
      <c r="H13" s="135"/>
      <c r="I13" s="134"/>
    </row>
    <row r="14" spans="1:9" s="3" customFormat="1" ht="20.25" customHeight="1">
      <c r="A14" s="335" t="s">
        <v>267</v>
      </c>
      <c r="B14" s="335"/>
      <c r="C14" s="335"/>
      <c r="D14" s="335"/>
      <c r="E14" s="335"/>
      <c r="F14" s="335"/>
      <c r="G14" s="135"/>
      <c r="H14" s="135"/>
      <c r="I14" s="134"/>
    </row>
    <row r="15" spans="1:9" s="3" customFormat="1" ht="20.25" customHeight="1">
      <c r="A15" s="335" t="s">
        <v>180</v>
      </c>
      <c r="B15" s="335"/>
      <c r="C15" s="335"/>
      <c r="D15" s="335"/>
      <c r="E15" s="335"/>
      <c r="F15" s="335"/>
      <c r="G15" s="135"/>
      <c r="H15" s="135"/>
      <c r="I15" s="134"/>
    </row>
    <row r="16" spans="1:9" s="3" customFormat="1" ht="20.25" customHeight="1">
      <c r="A16" s="335" t="s">
        <v>113</v>
      </c>
      <c r="B16" s="335"/>
      <c r="C16" s="335"/>
      <c r="D16" s="335"/>
      <c r="E16" s="335"/>
      <c r="F16" s="335"/>
      <c r="G16" s="135"/>
      <c r="H16" s="135"/>
      <c r="I16" s="134"/>
    </row>
    <row r="17" spans="1:9" s="3" customFormat="1" ht="20.25" customHeight="1">
      <c r="A17" s="335" t="s">
        <v>114</v>
      </c>
      <c r="B17" s="335"/>
      <c r="C17" s="335"/>
      <c r="D17" s="335"/>
      <c r="E17" s="335"/>
      <c r="F17" s="335"/>
      <c r="G17" s="135"/>
      <c r="H17" s="135"/>
      <c r="I17" s="134"/>
    </row>
    <row r="18" spans="1:9" s="3" customFormat="1" ht="20.25" customHeight="1">
      <c r="A18" s="335" t="s">
        <v>115</v>
      </c>
      <c r="B18" s="335"/>
      <c r="C18" s="335"/>
      <c r="D18" s="335"/>
      <c r="E18" s="335"/>
      <c r="F18" s="335"/>
      <c r="G18" s="135"/>
      <c r="H18" s="135"/>
      <c r="I18" s="134"/>
    </row>
    <row r="19" spans="1:9" s="3" customFormat="1" ht="20.25" customHeight="1">
      <c r="A19" s="335" t="s">
        <v>116</v>
      </c>
      <c r="B19" s="335"/>
      <c r="C19" s="335"/>
      <c r="D19" s="335"/>
      <c r="E19" s="335"/>
      <c r="F19" s="335"/>
      <c r="G19" s="135"/>
      <c r="H19" s="135"/>
      <c r="I19" s="134"/>
    </row>
    <row r="20" spans="1:9" s="3" customFormat="1" ht="20.25" customHeight="1">
      <c r="A20" s="335" t="s">
        <v>266</v>
      </c>
      <c r="B20" s="335"/>
      <c r="C20" s="335"/>
      <c r="D20" s="335"/>
      <c r="E20" s="335"/>
      <c r="F20" s="335"/>
      <c r="G20" s="135"/>
      <c r="H20" s="135"/>
      <c r="I20" s="134"/>
    </row>
    <row r="21" spans="1:9" s="3" customFormat="1" ht="20.25" customHeight="1">
      <c r="A21" s="335" t="s">
        <v>171</v>
      </c>
      <c r="B21" s="335"/>
      <c r="C21" s="335"/>
      <c r="D21" s="335"/>
      <c r="E21" s="335"/>
      <c r="F21" s="335"/>
      <c r="G21" s="135"/>
      <c r="H21" s="135"/>
      <c r="I21" s="134"/>
    </row>
    <row r="22" spans="1:9" s="3" customFormat="1" ht="20.25" customHeight="1">
      <c r="A22" s="335" t="s">
        <v>184</v>
      </c>
      <c r="B22" s="335"/>
      <c r="C22" s="335"/>
      <c r="D22" s="335"/>
      <c r="E22" s="335"/>
      <c r="F22" s="335"/>
      <c r="G22" s="135"/>
      <c r="H22" s="135"/>
      <c r="I22" s="134"/>
    </row>
    <row r="23" spans="1:9" s="3" customFormat="1" ht="33.75" customHeight="1">
      <c r="A23" s="335" t="s">
        <v>185</v>
      </c>
      <c r="B23" s="335"/>
      <c r="C23" s="335"/>
      <c r="D23" s="335"/>
      <c r="E23" s="335"/>
      <c r="F23" s="335"/>
      <c r="G23" s="135"/>
      <c r="H23" s="135"/>
      <c r="I23" s="134"/>
    </row>
    <row r="24" spans="1:9" s="3" customFormat="1" ht="20.25" customHeight="1">
      <c r="A24" s="335" t="s">
        <v>186</v>
      </c>
      <c r="B24" s="335"/>
      <c r="C24" s="335"/>
      <c r="D24" s="335"/>
      <c r="E24" s="335"/>
      <c r="F24" s="335"/>
      <c r="G24" s="135"/>
      <c r="H24" s="135"/>
      <c r="I24" s="134"/>
    </row>
    <row r="25" spans="1:9" s="3" customFormat="1" ht="20.25" customHeight="1">
      <c r="A25" s="236"/>
      <c r="B25" s="236"/>
      <c r="C25" s="236"/>
      <c r="D25" s="236"/>
      <c r="E25" s="236"/>
      <c r="F25" s="236"/>
      <c r="G25" s="135"/>
      <c r="H25" s="135"/>
      <c r="I25" s="134"/>
    </row>
    <row r="26" spans="1:9" s="3" customFormat="1" ht="20.25" customHeight="1">
      <c r="A26" s="339" t="s">
        <v>181</v>
      </c>
      <c r="B26" s="339"/>
      <c r="C26" s="339"/>
      <c r="D26" s="339"/>
      <c r="E26" s="339"/>
      <c r="F26" s="339"/>
      <c r="G26" s="137"/>
      <c r="H26" s="137"/>
      <c r="I26" s="134"/>
    </row>
    <row r="27" spans="1:9" s="268" customFormat="1" ht="30.75" customHeight="1">
      <c r="A27" s="335" t="s">
        <v>214</v>
      </c>
      <c r="B27" s="335"/>
      <c r="C27" s="335"/>
      <c r="D27" s="335"/>
      <c r="E27" s="335"/>
      <c r="F27" s="335"/>
      <c r="G27" s="264"/>
      <c r="H27" s="264"/>
      <c r="I27" s="267"/>
    </row>
    <row r="28" spans="1:9" s="3" customFormat="1" ht="20.25" customHeight="1">
      <c r="A28" s="335" t="s">
        <v>182</v>
      </c>
      <c r="B28" s="335"/>
      <c r="C28" s="335"/>
      <c r="D28" s="335"/>
      <c r="E28" s="335"/>
      <c r="F28" s="335"/>
      <c r="G28" s="137"/>
      <c r="H28" s="137"/>
      <c r="I28" s="134"/>
    </row>
    <row r="29" spans="1:9" s="3" customFormat="1" ht="60" customHeight="1">
      <c r="A29" s="335" t="s">
        <v>183</v>
      </c>
      <c r="B29" s="335"/>
      <c r="C29" s="335"/>
      <c r="D29" s="335"/>
      <c r="E29" s="335"/>
      <c r="F29" s="335"/>
      <c r="G29" s="145"/>
      <c r="H29" s="145"/>
      <c r="I29" s="143"/>
    </row>
    <row r="30" spans="1:9" s="3" customFormat="1" ht="25.5" customHeight="1">
      <c r="A30" s="236"/>
      <c r="B30" s="236"/>
      <c r="C30" s="236"/>
      <c r="D30" s="236"/>
      <c r="E30" s="236"/>
      <c r="F30" s="236"/>
      <c r="G30" s="145"/>
      <c r="H30" s="145"/>
      <c r="I30" s="143"/>
    </row>
    <row r="31" spans="1:9" s="3" customFormat="1" ht="40.5" customHeight="1">
      <c r="A31" s="339" t="s">
        <v>160</v>
      </c>
      <c r="B31" s="339"/>
      <c r="C31" s="339"/>
      <c r="D31" s="339"/>
      <c r="E31" s="339"/>
      <c r="F31" s="339"/>
      <c r="G31" s="145"/>
      <c r="H31" s="145"/>
      <c r="I31" s="143"/>
    </row>
    <row r="32" spans="1:9" s="3" customFormat="1" ht="7.5" customHeight="1">
      <c r="A32" s="145"/>
      <c r="B32" s="145"/>
      <c r="C32" s="145"/>
      <c r="D32" s="145"/>
      <c r="E32" s="145"/>
      <c r="F32" s="145"/>
      <c r="G32" s="145"/>
      <c r="H32" s="145"/>
      <c r="I32" s="143"/>
    </row>
    <row r="33" spans="1:9" s="3" customFormat="1" ht="20.25" customHeight="1">
      <c r="A33" s="132" t="s">
        <v>163</v>
      </c>
      <c r="B33" s="138"/>
      <c r="C33" s="138"/>
      <c r="D33" s="138"/>
      <c r="E33" s="138"/>
      <c r="F33" s="138"/>
      <c r="G33" s="138"/>
      <c r="H33" s="138"/>
      <c r="I33" s="138"/>
    </row>
    <row r="34" spans="1:9" s="3" customFormat="1" ht="20.25" customHeight="1">
      <c r="A34" s="138"/>
      <c r="B34" s="138"/>
      <c r="C34" s="138"/>
      <c r="D34" s="138"/>
      <c r="E34" s="138"/>
      <c r="F34" s="138"/>
      <c r="G34" s="138"/>
      <c r="H34" s="138"/>
      <c r="I34" s="138"/>
    </row>
    <row r="35" spans="1:9" s="3" customFormat="1" ht="138.75" customHeight="1">
      <c r="A35" s="340" t="s">
        <v>159</v>
      </c>
      <c r="B35" s="341"/>
      <c r="C35" s="185" t="s">
        <v>166</v>
      </c>
      <c r="D35" s="185" t="s">
        <v>165</v>
      </c>
      <c r="E35" s="144" t="s">
        <v>164</v>
      </c>
      <c r="F35" s="144" t="s">
        <v>167</v>
      </c>
      <c r="G35" s="145"/>
      <c r="H35" s="145"/>
      <c r="I35" s="143"/>
    </row>
    <row r="36" spans="1:9" s="3" customFormat="1" ht="18" customHeight="1">
      <c r="A36" s="336" t="str">
        <f>"Kalotte  "&amp;'1.1 Vortriebsdauer Kalotte HR'!A5</f>
        <v>Kalotte  6A.1 HR Kalotte</v>
      </c>
      <c r="B36" s="337"/>
      <c r="C36" s="187"/>
      <c r="D36" s="186"/>
      <c r="E36" s="277"/>
      <c r="F36" s="188">
        <f t="shared" ref="F36:F59" si="0">ROUND(C36*D36*E36,1)</f>
        <v>0</v>
      </c>
      <c r="G36" s="145"/>
      <c r="H36" s="145"/>
      <c r="I36" s="143"/>
    </row>
    <row r="37" spans="1:9" s="3" customFormat="1" ht="18" customHeight="1">
      <c r="A37" s="336" t="str">
        <f>"Kalotte  "&amp;'1.1 Vortriebsdauer Kalotte HR'!A6</f>
        <v>Kalotte  6A.2 HR Kalotte</v>
      </c>
      <c r="B37" s="337"/>
      <c r="C37" s="187"/>
      <c r="D37" s="186"/>
      <c r="E37" s="277"/>
      <c r="F37" s="188">
        <f t="shared" si="0"/>
        <v>0</v>
      </c>
      <c r="G37" s="145"/>
      <c r="H37" s="145"/>
      <c r="I37" s="143"/>
    </row>
    <row r="38" spans="1:9" s="3" customFormat="1" ht="18" customHeight="1">
      <c r="A38" s="336" t="str">
        <f>"Kalotte  "&amp;'1.1 Vortriebsdauer Kalotte HR'!A7</f>
        <v>Kalotte  6A.2 HR Kalottensohle</v>
      </c>
      <c r="B38" s="337"/>
      <c r="C38" s="187"/>
      <c r="D38" s="186"/>
      <c r="E38" s="277"/>
      <c r="F38" s="188">
        <f t="shared" si="0"/>
        <v>0</v>
      </c>
      <c r="G38" s="145"/>
      <c r="H38" s="145"/>
      <c r="I38" s="143"/>
    </row>
    <row r="39" spans="1:9" s="3" customFormat="1" ht="18" customHeight="1">
      <c r="A39" s="336" t="str">
        <f>"Kalotte  "&amp;'1.1 Vortriebsdauer Kalotte HR'!A8</f>
        <v>Kalotte  7A.1 HR Kalotte</v>
      </c>
      <c r="B39" s="337"/>
      <c r="C39" s="187"/>
      <c r="D39" s="186"/>
      <c r="E39" s="277"/>
      <c r="F39" s="188">
        <f t="shared" si="0"/>
        <v>0</v>
      </c>
      <c r="G39" s="145"/>
      <c r="H39" s="145"/>
      <c r="I39" s="143"/>
    </row>
    <row r="40" spans="1:9" s="3" customFormat="1" ht="18" customHeight="1">
      <c r="A40" s="336" t="str">
        <f>"Kalotte  "&amp;'1.1 Vortriebsdauer Kalotte HR'!A9</f>
        <v>Kalotte  7A.1 HR Kalottensohle</v>
      </c>
      <c r="B40" s="337"/>
      <c r="C40" s="187"/>
      <c r="D40" s="186"/>
      <c r="E40" s="277"/>
      <c r="F40" s="188">
        <f t="shared" si="0"/>
        <v>0</v>
      </c>
      <c r="G40" s="145"/>
      <c r="H40" s="145"/>
      <c r="I40" s="143"/>
    </row>
    <row r="41" spans="1:9" s="3" customFormat="1" ht="18" customHeight="1">
      <c r="A41" s="336" t="str">
        <f>"Kalotte  "&amp;'1.1 Vortriebsdauer Kalotte HR'!A10</f>
        <v>Kalotte  7A.2 HR Kalotte</v>
      </c>
      <c r="B41" s="337"/>
      <c r="C41" s="187"/>
      <c r="D41" s="186"/>
      <c r="E41" s="277"/>
      <c r="F41" s="188">
        <f t="shared" si="0"/>
        <v>0</v>
      </c>
      <c r="G41" s="145"/>
      <c r="H41" s="145"/>
      <c r="I41" s="143"/>
    </row>
    <row r="42" spans="1:9" s="3" customFormat="1" ht="18" customHeight="1">
      <c r="A42" s="336" t="str">
        <f>"Kalotte  "&amp;'1.1 Vortriebsdauer Kalotte HR'!A11</f>
        <v>Kalotte  7A.2 HR Kalottensohle</v>
      </c>
      <c r="B42" s="337"/>
      <c r="C42" s="187"/>
      <c r="D42" s="186"/>
      <c r="E42" s="277"/>
      <c r="F42" s="188">
        <f t="shared" si="0"/>
        <v>0</v>
      </c>
      <c r="G42" s="145"/>
      <c r="H42" s="145"/>
      <c r="I42" s="143"/>
    </row>
    <row r="43" spans="1:9" s="3" customFormat="1" ht="18" customHeight="1">
      <c r="A43" s="336" t="str">
        <f>"Kalotte  "&amp;'1.1 Vortriebsdauer Kalotte HR'!A12</f>
        <v>Kalotte  7A.3 HR Kalotte</v>
      </c>
      <c r="B43" s="337"/>
      <c r="C43" s="187"/>
      <c r="D43" s="186"/>
      <c r="E43" s="277"/>
      <c r="F43" s="188">
        <f t="shared" si="0"/>
        <v>0</v>
      </c>
      <c r="G43" s="145"/>
      <c r="H43" s="145"/>
      <c r="I43" s="143"/>
    </row>
    <row r="44" spans="1:9" s="3" customFormat="1" ht="18" customHeight="1">
      <c r="A44" s="336" t="str">
        <f>"Kalotte  "&amp;'1.1 Vortriebsdauer Kalotte HR'!A13</f>
        <v>Kalotte  7A.3 HR Kalottensohle</v>
      </c>
      <c r="B44" s="337"/>
      <c r="C44" s="187"/>
      <c r="D44" s="186"/>
      <c r="E44" s="277"/>
      <c r="F44" s="188">
        <f t="shared" si="0"/>
        <v>0</v>
      </c>
      <c r="G44" s="145"/>
      <c r="H44" s="145"/>
      <c r="I44" s="143"/>
    </row>
    <row r="45" spans="1:9" s="3" customFormat="1" ht="18" customHeight="1">
      <c r="A45" s="336" t="str">
        <f>"Str/So  "&amp;'1.4 Vortriebsdauer Str_So HR'!A4</f>
        <v>Str/So  6A.1 HR
StrSo ohne KSG</v>
      </c>
      <c r="B45" s="337"/>
      <c r="C45" s="187"/>
      <c r="D45" s="186"/>
      <c r="E45" s="277"/>
      <c r="F45" s="188">
        <f t="shared" si="0"/>
        <v>0</v>
      </c>
      <c r="G45" s="145"/>
      <c r="H45" s="145"/>
      <c r="I45" s="143"/>
    </row>
    <row r="46" spans="1:9" s="3" customFormat="1" ht="18" customHeight="1">
      <c r="A46" s="336" t="str">
        <f>"Str/So  "&amp;'1.4 Vortriebsdauer Str_So HR'!A5</f>
        <v>Str/So  6A.2 HR
StrSo ohne KSG</v>
      </c>
      <c r="B46" s="337"/>
      <c r="C46" s="187"/>
      <c r="D46" s="186"/>
      <c r="E46" s="277"/>
      <c r="F46" s="188">
        <f t="shared" si="0"/>
        <v>0</v>
      </c>
      <c r="G46" s="145"/>
      <c r="H46" s="145"/>
      <c r="I46" s="143"/>
    </row>
    <row r="47" spans="1:9" s="3" customFormat="1" ht="18" customHeight="1">
      <c r="A47" s="336" t="str">
        <f>"Str/So  "&amp;'1.4 Vortriebsdauer Str_So HR'!A6</f>
        <v>Str/So  6A.2 HR
StrSo mit KSG</v>
      </c>
      <c r="B47" s="337"/>
      <c r="C47" s="187"/>
      <c r="D47" s="186"/>
      <c r="E47" s="277"/>
      <c r="F47" s="188">
        <f t="shared" si="0"/>
        <v>0</v>
      </c>
      <c r="G47" s="145"/>
      <c r="H47" s="145"/>
      <c r="I47" s="143"/>
    </row>
    <row r="48" spans="1:9" s="3" customFormat="1" ht="18" customHeight="1">
      <c r="A48" s="336" t="str">
        <f>"Str/So  "&amp;'1.4 Vortriebsdauer Str_So HR'!A7</f>
        <v>Str/So  7A.1 HR
StrSo ohne KSG</v>
      </c>
      <c r="B48" s="337"/>
      <c r="C48" s="187"/>
      <c r="D48" s="186"/>
      <c r="E48" s="277"/>
      <c r="F48" s="188">
        <f t="shared" si="0"/>
        <v>0</v>
      </c>
      <c r="G48" s="145"/>
      <c r="H48" s="145"/>
      <c r="I48" s="143"/>
    </row>
    <row r="49" spans="1:9" s="3" customFormat="1" ht="18" customHeight="1">
      <c r="A49" s="336" t="str">
        <f>"Str/So  "&amp;'1.4 Vortriebsdauer Str_So HR'!A8</f>
        <v>Str/So  7A.1 HR
StrSo mit KSG</v>
      </c>
      <c r="B49" s="337"/>
      <c r="C49" s="187"/>
      <c r="D49" s="186"/>
      <c r="E49" s="277"/>
      <c r="F49" s="188">
        <f t="shared" si="0"/>
        <v>0</v>
      </c>
      <c r="G49" s="145"/>
      <c r="H49" s="145"/>
      <c r="I49" s="143"/>
    </row>
    <row r="50" spans="1:9" s="3" customFormat="1" ht="18" customHeight="1">
      <c r="A50" s="336" t="str">
        <f>"Str/So  "&amp;'1.4 Vortriebsdauer Str_So HR'!A9</f>
        <v>Str/So  7A.2 HR
StrSo ohne KSG</v>
      </c>
      <c r="B50" s="337"/>
      <c r="C50" s="187"/>
      <c r="D50" s="186"/>
      <c r="E50" s="277"/>
      <c r="F50" s="188">
        <f t="shared" si="0"/>
        <v>0</v>
      </c>
      <c r="G50" s="145"/>
      <c r="H50" s="145"/>
      <c r="I50" s="143"/>
    </row>
    <row r="51" spans="1:9" s="3" customFormat="1" ht="18" customHeight="1">
      <c r="A51" s="336" t="str">
        <f>"Str/So  "&amp;'1.4 Vortriebsdauer Str_So HR'!A10</f>
        <v>Str/So  7A.2 HR
StrSo mit KSG</v>
      </c>
      <c r="B51" s="337"/>
      <c r="C51" s="187"/>
      <c r="D51" s="186"/>
      <c r="E51" s="277"/>
      <c r="F51" s="188">
        <f t="shared" si="0"/>
        <v>0</v>
      </c>
      <c r="G51" s="145"/>
      <c r="H51" s="145"/>
      <c r="I51" s="143"/>
    </row>
    <row r="52" spans="1:9" s="3" customFormat="1" ht="18" customHeight="1">
      <c r="A52" s="336" t="str">
        <f>"Str/So  "&amp;'1.4 Vortriebsdauer Str_So HR'!A11</f>
        <v>Str/So  7A.3 HR
StrSo mit KSG</v>
      </c>
      <c r="B52" s="337"/>
      <c r="C52" s="187"/>
      <c r="D52" s="186"/>
      <c r="E52" s="277"/>
      <c r="F52" s="188">
        <f t="shared" ref="F52" si="1">ROUND(C52*D52*E52,1)</f>
        <v>0</v>
      </c>
      <c r="G52" s="145"/>
      <c r="H52" s="145"/>
      <c r="I52" s="143"/>
    </row>
    <row r="53" spans="1:9" s="3" customFormat="1" ht="18" customHeight="1">
      <c r="A53" s="336" t="str">
        <f>'2.2 Lohnstunden Ka_Str RST'!A3</f>
        <v>Kalotte/Strosse 6A.1 RS</v>
      </c>
      <c r="B53" s="337"/>
      <c r="C53" s="187"/>
      <c r="D53" s="186"/>
      <c r="E53" s="277"/>
      <c r="F53" s="188">
        <f t="shared" si="0"/>
        <v>0</v>
      </c>
      <c r="G53" s="145"/>
      <c r="H53" s="145"/>
      <c r="I53" s="143"/>
    </row>
    <row r="54" spans="1:9" s="3" customFormat="1" ht="18" customHeight="1">
      <c r="A54" s="336" t="str">
        <f>'2.2 Lohnstunden Ka_Str RST'!A20</f>
        <v>Kalotte/Strosse 6A.1 AW</v>
      </c>
      <c r="B54" s="337"/>
      <c r="C54" s="187"/>
      <c r="D54" s="186"/>
      <c r="E54" s="277"/>
      <c r="F54" s="188">
        <f t="shared" si="0"/>
        <v>0</v>
      </c>
      <c r="G54" s="145"/>
      <c r="H54" s="145"/>
      <c r="I54" s="143"/>
    </row>
    <row r="55" spans="1:9" s="3" customFormat="1" ht="18" customHeight="1">
      <c r="A55" s="336" t="str">
        <f>'2.2 Lohnstunden Ka_Str RST'!A37</f>
        <v>Kalotte/Strosse 7A.1 RS</v>
      </c>
      <c r="B55" s="337"/>
      <c r="C55" s="187"/>
      <c r="D55" s="186"/>
      <c r="E55" s="277"/>
      <c r="F55" s="188">
        <f>ROUND(C55*D55*E55,1)</f>
        <v>0</v>
      </c>
      <c r="G55" s="145"/>
      <c r="H55" s="145"/>
      <c r="I55" s="143"/>
    </row>
    <row r="56" spans="1:9" s="3" customFormat="1" ht="18" customHeight="1">
      <c r="A56" s="336" t="str">
        <f>'2.4 Lohnstunden So RST'!A4</f>
        <v>Sohle 6A.1 RS</v>
      </c>
      <c r="B56" s="337"/>
      <c r="C56" s="187"/>
      <c r="D56" s="186"/>
      <c r="E56" s="277"/>
      <c r="F56" s="188">
        <f>ROUND(C56*D56*E56,1)</f>
        <v>0</v>
      </c>
      <c r="G56" s="145"/>
      <c r="H56" s="145"/>
      <c r="I56" s="143"/>
    </row>
    <row r="57" spans="1:9" s="3" customFormat="1" ht="18" customHeight="1">
      <c r="A57" s="336" t="str">
        <f>'2.4 Lohnstunden So RST'!A13</f>
        <v>Sohle 6A.1 AW</v>
      </c>
      <c r="B57" s="337"/>
      <c r="C57" s="187"/>
      <c r="D57" s="186"/>
      <c r="E57" s="277"/>
      <c r="F57" s="188">
        <f t="shared" si="0"/>
        <v>0</v>
      </c>
      <c r="G57" s="145"/>
      <c r="H57" s="145"/>
      <c r="I57" s="143"/>
    </row>
    <row r="58" spans="1:9" s="3" customFormat="1" ht="18" customHeight="1">
      <c r="A58" s="336" t="str">
        <f>'2.4 Lohnstunden So RST'!A22</f>
        <v>Sohle 7A.1 RS</v>
      </c>
      <c r="B58" s="337"/>
      <c r="C58" s="187"/>
      <c r="D58" s="186"/>
      <c r="E58" s="277"/>
      <c r="F58" s="188">
        <f t="shared" si="0"/>
        <v>0</v>
      </c>
      <c r="G58" s="145"/>
      <c r="H58" s="145"/>
      <c r="I58" s="143"/>
    </row>
    <row r="59" spans="1:9" s="3" customFormat="1" ht="18" customHeight="1">
      <c r="A59" s="336" t="str">
        <f>"Strosse/Sohle  "&amp;'3.1 Vortriebsdauer Str_So LB'!A4</f>
        <v>Strosse/Sohle  6A.1 LB</v>
      </c>
      <c r="B59" s="337"/>
      <c r="C59" s="187"/>
      <c r="D59" s="186"/>
      <c r="E59" s="277"/>
      <c r="F59" s="188">
        <f t="shared" si="0"/>
        <v>0</v>
      </c>
      <c r="G59" s="145"/>
      <c r="H59" s="145"/>
      <c r="I59" s="143"/>
    </row>
    <row r="60" spans="1:9" s="215" customFormat="1" ht="18" customHeight="1">
      <c r="A60" s="336" t="s">
        <v>170</v>
      </c>
      <c r="B60" s="337"/>
      <c r="C60" s="187"/>
      <c r="D60" s="186"/>
      <c r="E60" s="277"/>
      <c r="F60" s="188">
        <f>ROUND(C60*D60*E60,1)</f>
        <v>0</v>
      </c>
      <c r="G60" s="145"/>
      <c r="H60" s="145"/>
      <c r="I60" s="143"/>
    </row>
    <row r="61" spans="1:9" s="3" customFormat="1" ht="18" customHeight="1">
      <c r="A61" s="181"/>
      <c r="B61" s="181"/>
      <c r="C61" s="182"/>
      <c r="D61" s="183"/>
      <c r="E61" s="183"/>
      <c r="F61" s="183"/>
      <c r="G61" s="145"/>
      <c r="H61" s="145"/>
      <c r="I61" s="143"/>
    </row>
    <row r="62" spans="1:9" s="3" customFormat="1" ht="52.5" customHeight="1">
      <c r="A62" s="338" t="s">
        <v>161</v>
      </c>
      <c r="B62" s="338"/>
      <c r="C62" s="338"/>
      <c r="D62" s="338"/>
      <c r="E62" s="338"/>
      <c r="F62" s="338"/>
      <c r="G62" s="145"/>
      <c r="H62" s="145"/>
      <c r="I62" s="143"/>
    </row>
    <row r="63" spans="1:9" s="3" customFormat="1" ht="36" customHeight="1">
      <c r="A63" s="338" t="s">
        <v>162</v>
      </c>
      <c r="B63" s="338"/>
      <c r="C63" s="338"/>
      <c r="D63" s="338"/>
      <c r="E63" s="338"/>
      <c r="F63" s="338"/>
      <c r="G63" s="145"/>
      <c r="H63" s="145"/>
      <c r="I63" s="143"/>
    </row>
    <row r="64" spans="1:9" s="3" customFormat="1" ht="18" customHeight="1">
      <c r="A64" s="184"/>
      <c r="B64" s="184"/>
      <c r="C64" s="184"/>
      <c r="D64" s="184"/>
      <c r="E64" s="184"/>
      <c r="F64" s="183"/>
      <c r="G64" s="145"/>
      <c r="H64" s="145"/>
      <c r="I64" s="143"/>
    </row>
    <row r="65" spans="1:10" s="3" customFormat="1" ht="18" customHeight="1">
      <c r="G65" s="145"/>
      <c r="H65" s="145"/>
      <c r="I65" s="143"/>
    </row>
    <row r="66" spans="1:10" s="3" customFormat="1" ht="40.5" customHeight="1">
      <c r="A66" s="145"/>
      <c r="B66" s="145"/>
      <c r="C66" s="145"/>
      <c r="D66" s="145"/>
      <c r="E66" s="145"/>
      <c r="F66" s="145"/>
      <c r="G66" s="145"/>
      <c r="H66" s="145"/>
      <c r="I66" s="143"/>
    </row>
    <row r="67" spans="1:10" s="3" customFormat="1" ht="9.75" customHeight="1">
      <c r="A67" s="145"/>
      <c r="B67" s="145"/>
      <c r="C67" s="145"/>
      <c r="D67" s="145"/>
      <c r="E67" s="145"/>
      <c r="F67" s="145"/>
      <c r="G67" s="145"/>
      <c r="H67" s="145"/>
      <c r="I67" s="143"/>
    </row>
    <row r="68" spans="1:10" s="3" customFormat="1" ht="20.25" customHeight="1">
      <c r="A68" s="132" t="s">
        <v>124</v>
      </c>
      <c r="B68" s="138"/>
      <c r="C68" s="138"/>
      <c r="D68" s="138"/>
      <c r="E68" s="138"/>
      <c r="F68" s="138"/>
      <c r="G68" s="138"/>
      <c r="H68" s="138"/>
      <c r="I68" s="138"/>
    </row>
    <row r="69" spans="1:10" s="3" customFormat="1" ht="9.75" customHeight="1">
      <c r="A69" s="138"/>
      <c r="B69" s="138"/>
      <c r="C69" s="138"/>
      <c r="D69" s="138"/>
      <c r="E69" s="138"/>
      <c r="F69" s="138"/>
      <c r="G69" s="138"/>
      <c r="H69" s="138"/>
      <c r="I69" s="138"/>
    </row>
    <row r="70" spans="1:10" ht="25.5">
      <c r="A70" s="369" t="s">
        <v>118</v>
      </c>
      <c r="B70" s="363" t="s">
        <v>8</v>
      </c>
      <c r="C70" s="364"/>
      <c r="D70" s="363" t="s">
        <v>119</v>
      </c>
      <c r="E70" s="364"/>
      <c r="F70" s="149" t="s">
        <v>120</v>
      </c>
      <c r="H70" s="139"/>
      <c r="I70" s="140"/>
    </row>
    <row r="71" spans="1:10" ht="25.5">
      <c r="A71" s="370"/>
      <c r="B71" s="365"/>
      <c r="C71" s="366"/>
      <c r="D71" s="365"/>
      <c r="E71" s="366"/>
      <c r="F71" s="150" t="s">
        <v>125</v>
      </c>
    </row>
    <row r="72" spans="1:10" ht="29.25" customHeight="1">
      <c r="A72" s="144" t="s">
        <v>121</v>
      </c>
      <c r="B72" s="343" t="s">
        <v>126</v>
      </c>
      <c r="C72" s="344"/>
      <c r="D72" s="349">
        <v>46266</v>
      </c>
      <c r="E72" s="350"/>
      <c r="F72" s="299">
        <v>46266</v>
      </c>
      <c r="G72" s="327"/>
    </row>
    <row r="73" spans="1:10" ht="8.25" customHeight="1">
      <c r="A73" s="144"/>
      <c r="B73" s="273"/>
      <c r="C73" s="274"/>
      <c r="D73" s="275"/>
      <c r="E73" s="276"/>
      <c r="F73" s="144"/>
      <c r="G73" s="148"/>
    </row>
    <row r="74" spans="1:10" ht="22.5" customHeight="1">
      <c r="A74" s="367" t="s">
        <v>122</v>
      </c>
      <c r="B74" s="345" t="s">
        <v>294</v>
      </c>
      <c r="C74" s="346"/>
      <c r="D74" s="351" t="e">
        <f>D72+'4.2 Gesamtbauzeit'!C5+'4.1 Teilbauzeit 2'!D4+'4.1 Teilbauzeit 2'!D5</f>
        <v>#DIV/0!</v>
      </c>
      <c r="E74" s="352"/>
      <c r="F74" s="279" t="s">
        <v>219</v>
      </c>
      <c r="G74" s="328"/>
    </row>
    <row r="75" spans="1:10" ht="38.25" customHeight="1">
      <c r="A75" s="368"/>
      <c r="B75" s="347"/>
      <c r="C75" s="348"/>
      <c r="D75" s="353"/>
      <c r="E75" s="354"/>
      <c r="F75" s="300">
        <v>46893</v>
      </c>
      <c r="G75" s="329"/>
      <c r="H75" s="298"/>
      <c r="J75" s="297"/>
    </row>
    <row r="76" spans="1:10" ht="22.5" customHeight="1">
      <c r="A76" s="367" t="s">
        <v>123</v>
      </c>
      <c r="B76" s="345" t="s">
        <v>316</v>
      </c>
      <c r="C76" s="346"/>
      <c r="D76" s="351" t="e">
        <f>D72+'4.2 Gesamtbauzeit'!C5+'4.2 Gesamtbauzeit'!C6</f>
        <v>#DIV/0!</v>
      </c>
      <c r="E76" s="352"/>
      <c r="F76" s="279" t="s">
        <v>219</v>
      </c>
      <c r="G76" s="328"/>
      <c r="J76" s="297"/>
    </row>
    <row r="77" spans="1:10" ht="22.5" customHeight="1">
      <c r="A77" s="368"/>
      <c r="B77" s="347"/>
      <c r="C77" s="348"/>
      <c r="D77" s="353"/>
      <c r="E77" s="354"/>
      <c r="F77" s="300">
        <v>47258</v>
      </c>
      <c r="G77" s="330"/>
      <c r="H77" s="298"/>
      <c r="J77" s="297"/>
    </row>
    <row r="78" spans="1:10" ht="19.7" customHeight="1">
      <c r="A78" s="367" t="s">
        <v>391</v>
      </c>
      <c r="B78" s="345" t="s">
        <v>392</v>
      </c>
      <c r="C78" s="346"/>
      <c r="D78" s="355"/>
      <c r="E78" s="356"/>
      <c r="F78" s="279" t="s">
        <v>219</v>
      </c>
      <c r="G78" s="328"/>
      <c r="H78" s="298"/>
      <c r="J78" s="297"/>
    </row>
    <row r="79" spans="1:10" ht="19.7" customHeight="1">
      <c r="A79" s="368"/>
      <c r="B79" s="347"/>
      <c r="C79" s="348"/>
      <c r="D79" s="357"/>
      <c r="E79" s="358"/>
      <c r="F79" s="300">
        <v>47308</v>
      </c>
      <c r="G79" s="330"/>
      <c r="H79" s="298"/>
      <c r="J79" s="297"/>
    </row>
    <row r="80" spans="1:10" ht="13.35" customHeight="1">
      <c r="A80" s="367" t="s">
        <v>394</v>
      </c>
      <c r="B80" s="345" t="s">
        <v>395</v>
      </c>
      <c r="C80" s="346"/>
      <c r="D80" s="355"/>
      <c r="E80" s="356"/>
      <c r="F80" s="279" t="s">
        <v>219</v>
      </c>
      <c r="G80" s="328"/>
      <c r="H80" s="298"/>
      <c r="J80" s="297"/>
    </row>
    <row r="81" spans="1:10" ht="15.75" customHeight="1">
      <c r="A81" s="368"/>
      <c r="B81" s="347"/>
      <c r="C81" s="348"/>
      <c r="D81" s="357"/>
      <c r="E81" s="358"/>
      <c r="F81" s="300">
        <v>47422</v>
      </c>
      <c r="G81" s="330"/>
      <c r="H81" s="298"/>
      <c r="J81" s="297"/>
    </row>
    <row r="82" spans="1:10" ht="15" customHeight="1">
      <c r="A82" s="367" t="s">
        <v>132</v>
      </c>
      <c r="B82" s="345" t="s">
        <v>128</v>
      </c>
      <c r="C82" s="346"/>
      <c r="D82" s="355"/>
      <c r="E82" s="356"/>
      <c r="F82" s="279" t="s">
        <v>219</v>
      </c>
      <c r="G82" s="328"/>
      <c r="H82" s="298"/>
      <c r="J82" s="297"/>
    </row>
    <row r="83" spans="1:10" ht="15" customHeight="1">
      <c r="A83" s="368"/>
      <c r="B83" s="347"/>
      <c r="C83" s="348"/>
      <c r="D83" s="357"/>
      <c r="E83" s="358"/>
      <c r="F83" s="300">
        <v>47527</v>
      </c>
      <c r="G83" s="330"/>
      <c r="H83" s="298"/>
      <c r="J83" s="297"/>
    </row>
    <row r="84" spans="1:10" ht="15" customHeight="1">
      <c r="A84" s="367" t="s">
        <v>209</v>
      </c>
      <c r="B84" s="345" t="s">
        <v>314</v>
      </c>
      <c r="C84" s="346"/>
      <c r="D84" s="355"/>
      <c r="E84" s="356"/>
      <c r="F84" s="279" t="s">
        <v>219</v>
      </c>
      <c r="G84" s="328"/>
      <c r="H84" s="298"/>
      <c r="J84" s="297"/>
    </row>
    <row r="85" spans="1:10" ht="15" customHeight="1">
      <c r="A85" s="368"/>
      <c r="B85" s="347"/>
      <c r="C85" s="348"/>
      <c r="D85" s="357"/>
      <c r="E85" s="358"/>
      <c r="F85" s="300">
        <v>47422</v>
      </c>
      <c r="G85" s="330"/>
      <c r="H85" s="298"/>
      <c r="J85" s="297"/>
    </row>
    <row r="86" spans="1:10" ht="8.25" customHeight="1">
      <c r="A86" s="144"/>
      <c r="B86" s="273"/>
      <c r="C86" s="274"/>
      <c r="D86" s="275"/>
      <c r="E86" s="276"/>
      <c r="F86" s="144"/>
      <c r="G86" s="148"/>
      <c r="H86" s="298"/>
      <c r="J86" s="297"/>
    </row>
    <row r="87" spans="1:10" ht="22.5" customHeight="1">
      <c r="A87" s="367" t="s">
        <v>293</v>
      </c>
      <c r="B87" s="345" t="s">
        <v>315</v>
      </c>
      <c r="C87" s="346"/>
      <c r="D87" s="351" t="e">
        <f>D72+'4.2 Gesamtbauzeit'!C8</f>
        <v>#DIV/0!</v>
      </c>
      <c r="E87" s="352"/>
      <c r="F87" s="279" t="s">
        <v>219</v>
      </c>
      <c r="G87" s="328"/>
      <c r="H87" s="298"/>
      <c r="J87" s="297"/>
    </row>
    <row r="88" spans="1:10" ht="22.5" customHeight="1">
      <c r="A88" s="368"/>
      <c r="B88" s="347"/>
      <c r="C88" s="348"/>
      <c r="D88" s="353"/>
      <c r="E88" s="354"/>
      <c r="F88" s="300">
        <v>47578</v>
      </c>
      <c r="G88" s="330"/>
      <c r="H88" s="298"/>
      <c r="J88" s="297"/>
    </row>
    <row r="89" spans="1:10" ht="12.75" customHeight="1">
      <c r="A89" s="311"/>
      <c r="B89" s="143"/>
      <c r="C89" s="143"/>
      <c r="D89" s="143"/>
      <c r="E89" s="278"/>
      <c r="F89" s="148"/>
    </row>
    <row r="90" spans="1:10" ht="22.5" customHeight="1">
      <c r="A90" s="312" t="s">
        <v>364</v>
      </c>
      <c r="B90" s="267" t="s">
        <v>365</v>
      </c>
      <c r="C90" s="342" t="s">
        <v>366</v>
      </c>
      <c r="D90" s="342"/>
      <c r="E90" s="342"/>
      <c r="F90" s="342"/>
    </row>
    <row r="91" spans="1:10" ht="127.5" customHeight="1">
      <c r="A91" s="312" t="s">
        <v>368</v>
      </c>
      <c r="B91" s="267" t="s">
        <v>370</v>
      </c>
      <c r="C91" s="342" t="s">
        <v>372</v>
      </c>
      <c r="D91" s="342"/>
      <c r="E91" s="342"/>
      <c r="F91" s="342"/>
    </row>
    <row r="92" spans="1:10" ht="110.25" customHeight="1">
      <c r="A92" s="312" t="s">
        <v>369</v>
      </c>
      <c r="B92" s="267" t="s">
        <v>370</v>
      </c>
      <c r="C92" s="342" t="s">
        <v>371</v>
      </c>
      <c r="D92" s="342"/>
      <c r="E92" s="342"/>
      <c r="F92" s="342"/>
    </row>
    <row r="93" spans="1:10" ht="38.25" customHeight="1">
      <c r="A93" s="312" t="s">
        <v>393</v>
      </c>
      <c r="B93" s="267" t="s">
        <v>221</v>
      </c>
      <c r="C93" s="342" t="s">
        <v>292</v>
      </c>
      <c r="D93" s="342"/>
      <c r="E93" s="342"/>
      <c r="F93" s="342"/>
    </row>
    <row r="94" spans="1:10" ht="88.5" customHeight="1">
      <c r="A94" s="312" t="s">
        <v>367</v>
      </c>
      <c r="B94" s="267" t="s">
        <v>220</v>
      </c>
      <c r="C94" s="342" t="s">
        <v>373</v>
      </c>
      <c r="D94" s="342"/>
      <c r="E94" s="342"/>
      <c r="F94" s="342"/>
    </row>
    <row r="95" spans="1:10" ht="17.25" customHeight="1"/>
    <row r="96" spans="1:10">
      <c r="A96" s="140" t="s">
        <v>213</v>
      </c>
    </row>
    <row r="97" spans="1:1">
      <c r="A97" s="140"/>
    </row>
  </sheetData>
  <sheetProtection algorithmName="SHA-512" hashValue="/Yx92/0snHD34Dzs/3wVjPV72pZB8uvo+fPOpkHk4JLjjlukS16KafcZs98H7WklEMMhdKwgTgeCuhLchidvVA==" saltValue="MMVTD1BrmU+sSfyUPo0IFg==" spinCount="100000" sheet="1" objects="1" scenarios="1"/>
  <mergeCells count="84">
    <mergeCell ref="A87:A88"/>
    <mergeCell ref="B87:C88"/>
    <mergeCell ref="A74:A75"/>
    <mergeCell ref="B74:C75"/>
    <mergeCell ref="A76:A77"/>
    <mergeCell ref="B76:C77"/>
    <mergeCell ref="D70:E71"/>
    <mergeCell ref="B70:C71"/>
    <mergeCell ref="A84:A85"/>
    <mergeCell ref="B84:C85"/>
    <mergeCell ref="A70:A71"/>
    <mergeCell ref="A82:A83"/>
    <mergeCell ref="B82:C83"/>
    <mergeCell ref="A78:A79"/>
    <mergeCell ref="A80:A81"/>
    <mergeCell ref="A26:F26"/>
    <mergeCell ref="A22:F22"/>
    <mergeCell ref="A23:F23"/>
    <mergeCell ref="A24:F24"/>
    <mergeCell ref="A17:F17"/>
    <mergeCell ref="A18:F18"/>
    <mergeCell ref="A19:F19"/>
    <mergeCell ref="A20:F20"/>
    <mergeCell ref="A21:F21"/>
    <mergeCell ref="A37:B37"/>
    <mergeCell ref="A38:B38"/>
    <mergeCell ref="A42:B42"/>
    <mergeCell ref="A43:B43"/>
    <mergeCell ref="A48:B48"/>
    <mergeCell ref="A49:B49"/>
    <mergeCell ref="A46:B46"/>
    <mergeCell ref="A47:B47"/>
    <mergeCell ref="A44:B44"/>
    <mergeCell ref="A45:B45"/>
    <mergeCell ref="A50:B50"/>
    <mergeCell ref="A51:B51"/>
    <mergeCell ref="A53:B53"/>
    <mergeCell ref="A54:B54"/>
    <mergeCell ref="A55:B55"/>
    <mergeCell ref="A52:B52"/>
    <mergeCell ref="A5:F5"/>
    <mergeCell ref="A7:F7"/>
    <mergeCell ref="A8:F8"/>
    <mergeCell ref="A9:F9"/>
    <mergeCell ref="A10:F10"/>
    <mergeCell ref="A6:F6"/>
    <mergeCell ref="A15:F15"/>
    <mergeCell ref="A16:F16"/>
    <mergeCell ref="A11:F11"/>
    <mergeCell ref="A12:F12"/>
    <mergeCell ref="A13:F13"/>
    <mergeCell ref="A14:F14"/>
    <mergeCell ref="C94:F94"/>
    <mergeCell ref="C91:F91"/>
    <mergeCell ref="C90:F90"/>
    <mergeCell ref="B72:C72"/>
    <mergeCell ref="C93:F93"/>
    <mergeCell ref="B78:C79"/>
    <mergeCell ref="C92:F92"/>
    <mergeCell ref="D72:E72"/>
    <mergeCell ref="D74:E75"/>
    <mergeCell ref="D76:E77"/>
    <mergeCell ref="D78:E79"/>
    <mergeCell ref="D82:E83"/>
    <mergeCell ref="D84:E85"/>
    <mergeCell ref="D87:E88"/>
    <mergeCell ref="B80:C81"/>
    <mergeCell ref="D80:E81"/>
    <mergeCell ref="A27:F27"/>
    <mergeCell ref="A59:B59"/>
    <mergeCell ref="A62:F62"/>
    <mergeCell ref="A63:F63"/>
    <mergeCell ref="A31:F31"/>
    <mergeCell ref="A56:B56"/>
    <mergeCell ref="A57:B57"/>
    <mergeCell ref="A58:B58"/>
    <mergeCell ref="A60:B60"/>
    <mergeCell ref="A28:F28"/>
    <mergeCell ref="A40:B40"/>
    <mergeCell ref="A36:B36"/>
    <mergeCell ref="A35:B35"/>
    <mergeCell ref="A41:B41"/>
    <mergeCell ref="A39:B39"/>
    <mergeCell ref="A29:F29"/>
  </mergeCells>
  <phoneticPr fontId="11" type="noConversion"/>
  <conditionalFormatting sqref="A87:D87 A72:D72 A78:D78 A84:D84 A74:D74 A76:D76 A80:D80 A82:D82 A1:F71 F72 G72:G88 A73:F73 F74:F85 A75:C75 A77:C77 A79:C79 A81:C81 A83:C83 A85:C85 A86:F86 F87:F88 A88:C88 A89:F102">
    <cfRule type="expression" dxfId="87" priority="12">
      <formula>CELL("Schutz",A1)=0</formula>
    </cfRule>
  </conditionalFormatting>
  <conditionalFormatting sqref="D72">
    <cfRule type="cellIs" dxfId="86" priority="8" operator="lessThan">
      <formula>$F$72</formula>
    </cfRule>
  </conditionalFormatting>
  <conditionalFormatting sqref="D74">
    <cfRule type="cellIs" dxfId="85" priority="5" operator="greaterThan">
      <formula>$F$75</formula>
    </cfRule>
  </conditionalFormatting>
  <conditionalFormatting sqref="D76">
    <cfRule type="cellIs" dxfId="84" priority="4" operator="greaterThan">
      <formula>$F$77</formula>
    </cfRule>
  </conditionalFormatting>
  <conditionalFormatting sqref="D78">
    <cfRule type="cellIs" dxfId="83" priority="7" operator="greaterThan">
      <formula>$F$79</formula>
    </cfRule>
  </conditionalFormatting>
  <conditionalFormatting sqref="D80">
    <cfRule type="cellIs" dxfId="82" priority="2" operator="greaterThan">
      <formula>$F$81</formula>
    </cfRule>
  </conditionalFormatting>
  <conditionalFormatting sqref="D84">
    <cfRule type="cellIs" dxfId="81" priority="6" operator="greaterThan">
      <formula>$F$85</formula>
    </cfRule>
  </conditionalFormatting>
  <conditionalFormatting sqref="D87">
    <cfRule type="cellIs" dxfId="80" priority="9" operator="greaterThan">
      <formula>$F$88</formula>
    </cfRule>
  </conditionalFormatting>
  <conditionalFormatting sqref="D82:E83">
    <cfRule type="cellIs" dxfId="79" priority="1" operator="greaterThan">
      <formula>$F$83</formula>
    </cfRule>
  </conditionalFormatting>
  <dataValidations count="2">
    <dataValidation type="whole" errorStyle="warning" operator="greaterThanOrEqual" allowBlank="1" showErrorMessage="1" error="Nur positive Ganzzahlen zulässig!" sqref="C64:E64 C36:C61 E36:E61" xr:uid="{F5EFED30-5B27-4716-93E9-B35ED410A928}">
      <formula1>0</formula1>
    </dataValidation>
    <dataValidation type="custom" errorStyle="warning" operator="greaterThanOrEqual" allowBlank="1" showErrorMessage="1" error="Nur eine Nachkommastelle zulässig!" sqref="D36:D61" xr:uid="{D4FB63A5-8819-4010-BE5A-34622CA6FA18}">
      <formula1>MOD(D36*10^1,1)=0</formula1>
    </dataValidation>
  </dataValidations>
  <pageMargins left="0.70866141732283472" right="0.70866141732283472" top="0.78740157480314965" bottom="0.78740157480314965" header="0.31496062992125984" footer="0.31496062992125984"/>
  <pageSetup paperSize="9" scale="89" orientation="portrait" useFirstPageNumber="1" r:id="rId1"/>
  <headerFooter>
    <oddHeader>&amp;L&amp;"Arial,Fett"&amp;10Bieterangaben zeitgebundene Kosten Tunnel Kauerndorf
Unterlage 01.03-1.0 - Allgemeines und Vertragstermine&amp;R&amp;9.....................................................
Bieter</oddHeader>
    <oddFooter>&amp;R&amp;A
Blattseite &amp;P</oddFooter>
    <firstFooter>&amp;R&amp;P</firstFooter>
  </headerFooter>
  <rowBreaks count="2" manualBreakCount="2">
    <brk id="31" max="16383" man="1"/>
    <brk id="6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7C316-19CE-4B08-A234-E37D1DF17884}">
  <sheetPr>
    <tabColor theme="7" tint="0.39997558519241921"/>
    <pageSetUpPr fitToPage="1"/>
  </sheetPr>
  <dimension ref="A1:J60"/>
  <sheetViews>
    <sheetView showGridLines="0" view="pageBreakPreview" zoomScaleNormal="100" zoomScaleSheetLayoutView="100" workbookViewId="0">
      <selection activeCell="A10" sqref="A10:F10"/>
    </sheetView>
  </sheetViews>
  <sheetFormatPr baseColWidth="10" defaultColWidth="11.25" defaultRowHeight="14.25"/>
  <cols>
    <col min="1" max="1" width="18.125" customWidth="1"/>
    <col min="2" max="2" width="50.5" style="64" customWidth="1"/>
    <col min="3" max="3" width="7.75" style="64" customWidth="1"/>
    <col min="4" max="4" width="9" style="101" customWidth="1"/>
    <col min="5" max="5" width="9" style="88" customWidth="1"/>
    <col min="6" max="6" width="18.375" style="231" customWidth="1"/>
    <col min="7" max="7" width="19.625" style="37" customWidth="1"/>
    <col min="8" max="8" width="12.625" style="37" customWidth="1"/>
    <col min="9" max="9" width="11.75" style="37" customWidth="1"/>
    <col min="10" max="10" width="12.375" style="38" customWidth="1"/>
    <col min="11" max="11" width="2" customWidth="1"/>
  </cols>
  <sheetData>
    <row r="1" spans="1:10">
      <c r="A1" s="383" t="s">
        <v>26</v>
      </c>
      <c r="B1" s="384"/>
      <c r="C1" s="384"/>
      <c r="D1" s="384"/>
      <c r="E1" s="385"/>
      <c r="F1" s="224"/>
      <c r="G1" s="386" t="s">
        <v>0</v>
      </c>
      <c r="H1" s="387"/>
      <c r="I1" s="387"/>
      <c r="J1" s="388"/>
    </row>
    <row r="2" spans="1:10" ht="57">
      <c r="A2" s="10" t="s">
        <v>47</v>
      </c>
      <c r="B2" s="53" t="s">
        <v>8</v>
      </c>
      <c r="C2" s="53" t="s">
        <v>4</v>
      </c>
      <c r="D2" s="89" t="s">
        <v>44</v>
      </c>
      <c r="E2" s="81" t="s">
        <v>277</v>
      </c>
      <c r="F2" s="81" t="s">
        <v>210</v>
      </c>
      <c r="G2" s="31" t="s">
        <v>361</v>
      </c>
      <c r="H2" s="31" t="s">
        <v>172</v>
      </c>
      <c r="I2" s="31" t="s">
        <v>16</v>
      </c>
      <c r="J2" s="31" t="s">
        <v>9</v>
      </c>
    </row>
    <row r="3" spans="1:10" ht="24">
      <c r="A3" s="6" t="s">
        <v>65</v>
      </c>
      <c r="B3" s="155" t="s">
        <v>273</v>
      </c>
      <c r="C3" s="80" t="s">
        <v>5</v>
      </c>
      <c r="D3" s="90">
        <f>14.58*$A$4*0.66</f>
        <v>12.509640000000001</v>
      </c>
      <c r="E3" s="82">
        <f t="shared" ref="E3:E16" si="0">D3/$A$4</f>
        <v>9.6227999999999998</v>
      </c>
      <c r="F3" s="225"/>
      <c r="G3" s="235"/>
      <c r="H3" s="32">
        <f>ROUND(E3*G3,2)</f>
        <v>0</v>
      </c>
      <c r="I3" s="125"/>
      <c r="J3" s="70"/>
    </row>
    <row r="4" spans="1:10" ht="24">
      <c r="A4" s="96">
        <v>1.3</v>
      </c>
      <c r="B4" s="155" t="s">
        <v>274</v>
      </c>
      <c r="C4" s="80" t="s">
        <v>5</v>
      </c>
      <c r="D4" s="90">
        <f>14.58*$A$4*0.34</f>
        <v>6.4443600000000005</v>
      </c>
      <c r="E4" s="82">
        <f t="shared" si="0"/>
        <v>4.9572000000000003</v>
      </c>
      <c r="F4" s="234"/>
      <c r="G4" s="199"/>
      <c r="H4" s="32">
        <f t="shared" ref="H4:H16" si="1">ROUND(E4*G4,2)</f>
        <v>0</v>
      </c>
      <c r="I4" s="125"/>
      <c r="J4" s="70"/>
    </row>
    <row r="5" spans="1:10">
      <c r="A5" s="96"/>
      <c r="B5" s="55" t="str">
        <f>'1.0a Rüstzeiten'!A11</f>
        <v>Rüsten Rettungsstollen, Ausbruch Kalotte/Strosse, sprengen</v>
      </c>
      <c r="C5" s="253" t="s">
        <v>49</v>
      </c>
      <c r="D5" s="254">
        <v>0.66</v>
      </c>
      <c r="E5" s="85">
        <f>D5/$A$4</f>
        <v>0.50769230769230766</v>
      </c>
      <c r="F5" s="225" t="s">
        <v>211</v>
      </c>
      <c r="G5" s="128">
        <f>ROUND('1.0a Rüstzeiten'!G11*'1.0 Allgemeines'!F$53/24,2)</f>
        <v>0</v>
      </c>
      <c r="H5" s="35">
        <f t="shared" si="1"/>
        <v>0</v>
      </c>
      <c r="I5" s="125"/>
      <c r="J5" s="70"/>
    </row>
    <row r="6" spans="1:10">
      <c r="A6" s="96"/>
      <c r="B6" s="56" t="str">
        <f>'1.0a Rüstzeiten'!A12</f>
        <v>Rüsten Rettungsstollen, Ausbruch Kalotte/Strosse, mechan. Lösen</v>
      </c>
      <c r="C6" s="102" t="s">
        <v>49</v>
      </c>
      <c r="D6" s="252">
        <v>0.34</v>
      </c>
      <c r="E6" s="83">
        <f>D6/$A$4</f>
        <v>0.26153846153846155</v>
      </c>
      <c r="F6" s="233" t="s">
        <v>211</v>
      </c>
      <c r="G6" s="30">
        <f>ROUND('1.0a Rüstzeiten'!G12*'1.0 Allgemeines'!F$53/24,2)</f>
        <v>0</v>
      </c>
      <c r="H6" s="74">
        <f>ROUND(E6*G6,2)</f>
        <v>0</v>
      </c>
      <c r="I6" s="125"/>
      <c r="J6" s="70"/>
    </row>
    <row r="7" spans="1:10">
      <c r="A7" s="96"/>
      <c r="B7" s="56" t="str">
        <f>'1.0a Rüstzeiten'!A19</f>
        <v>Rüsten Rettungsstollen, Spritzbeton/Bewehrung Kalotte/Strosse</v>
      </c>
      <c r="C7" s="102" t="s">
        <v>49</v>
      </c>
      <c r="D7" s="252">
        <v>1</v>
      </c>
      <c r="E7" s="83">
        <f>D7/$A$4</f>
        <v>0.76923076923076916</v>
      </c>
      <c r="F7" s="233" t="s">
        <v>211</v>
      </c>
      <c r="G7" s="30">
        <f>ROUND('1.0a Rüstzeiten'!G19*'1.0 Allgemeines'!F$53/24,2)</f>
        <v>0</v>
      </c>
      <c r="H7" s="74">
        <f>ROUND(E7*G7,2)</f>
        <v>0</v>
      </c>
      <c r="I7" s="125"/>
      <c r="J7" s="70"/>
    </row>
    <row r="8" spans="1:10">
      <c r="A8" s="96"/>
      <c r="B8" s="156" t="str">
        <f>'1.0a Rüstzeiten'!A24</f>
        <v>Rüsten Rettungsstollen, Ankern und Spießen  Kalotte/Strosse</v>
      </c>
      <c r="C8" s="255" t="s">
        <v>49</v>
      </c>
      <c r="D8" s="124">
        <v>1</v>
      </c>
      <c r="E8" s="99">
        <f>D8/$A$4</f>
        <v>0.76923076923076916</v>
      </c>
      <c r="F8" s="259" t="s">
        <v>211</v>
      </c>
      <c r="G8" s="260">
        <f>ROUND('1.0a Rüstzeiten'!G24*'1.0 Allgemeines'!F$53/24,2)</f>
        <v>0</v>
      </c>
      <c r="H8" s="33">
        <f>ROUND(E8*G8,2)</f>
        <v>0</v>
      </c>
      <c r="I8" s="125"/>
      <c r="J8" s="70"/>
    </row>
    <row r="9" spans="1:10">
      <c r="A9" s="66"/>
      <c r="B9" s="72" t="s">
        <v>38</v>
      </c>
      <c r="C9" s="73" t="s">
        <v>49</v>
      </c>
      <c r="D9" s="91">
        <v>8</v>
      </c>
      <c r="E9" s="83">
        <f t="shared" si="0"/>
        <v>6.1538461538461533</v>
      </c>
      <c r="F9" s="226" t="s">
        <v>212</v>
      </c>
      <c r="G9" s="195"/>
      <c r="H9" s="69">
        <f t="shared" si="1"/>
        <v>0</v>
      </c>
      <c r="I9" s="121"/>
      <c r="J9" s="70"/>
    </row>
    <row r="10" spans="1:10">
      <c r="A10" s="71"/>
      <c r="B10" s="72" t="s">
        <v>133</v>
      </c>
      <c r="C10" s="73" t="s">
        <v>49</v>
      </c>
      <c r="D10" s="91">
        <v>8</v>
      </c>
      <c r="E10" s="83">
        <f t="shared" si="0"/>
        <v>6.1538461538461533</v>
      </c>
      <c r="F10" s="226" t="s">
        <v>212</v>
      </c>
      <c r="G10" s="195"/>
      <c r="H10" s="69">
        <f t="shared" si="1"/>
        <v>0</v>
      </c>
      <c r="I10" s="121"/>
      <c r="J10" s="70"/>
    </row>
    <row r="11" spans="1:10">
      <c r="A11" s="71"/>
      <c r="B11" s="72" t="s">
        <v>66</v>
      </c>
      <c r="C11" s="73" t="s">
        <v>6</v>
      </c>
      <c r="D11" s="91">
        <f>10.02*$A$4</f>
        <v>13.026</v>
      </c>
      <c r="E11" s="83">
        <f t="shared" si="0"/>
        <v>10.02</v>
      </c>
      <c r="F11" s="226" t="s">
        <v>212</v>
      </c>
      <c r="G11" s="195"/>
      <c r="H11" s="69">
        <f t="shared" si="1"/>
        <v>0</v>
      </c>
      <c r="I11" s="121"/>
      <c r="J11" s="70"/>
    </row>
    <row r="12" spans="1:10">
      <c r="A12" s="71"/>
      <c r="B12" s="72" t="s">
        <v>83</v>
      </c>
      <c r="C12" s="73" t="s">
        <v>379</v>
      </c>
      <c r="D12" s="91">
        <f>10.02*$A$4*4.12/1000</f>
        <v>5.3667119999999999E-2</v>
      </c>
      <c r="E12" s="324">
        <f t="shared" si="0"/>
        <v>4.1282399999999997E-2</v>
      </c>
      <c r="F12" s="226" t="s">
        <v>212</v>
      </c>
      <c r="G12" s="195"/>
      <c r="H12" s="69">
        <f t="shared" si="1"/>
        <v>0</v>
      </c>
      <c r="I12" s="121"/>
      <c r="J12" s="70"/>
    </row>
    <row r="13" spans="1:10">
      <c r="A13" s="71"/>
      <c r="B13" s="72" t="s">
        <v>101</v>
      </c>
      <c r="C13" s="73" t="s">
        <v>7</v>
      </c>
      <c r="D13" s="91">
        <f>2*$A$4</f>
        <v>2.6</v>
      </c>
      <c r="E13" s="83">
        <f>D13/$A$4</f>
        <v>2</v>
      </c>
      <c r="F13" s="226"/>
      <c r="G13" s="195"/>
      <c r="H13" s="69">
        <f t="shared" si="1"/>
        <v>0</v>
      </c>
      <c r="I13" s="121"/>
      <c r="J13" s="70"/>
    </row>
    <row r="14" spans="1:10">
      <c r="A14" s="71"/>
      <c r="B14" s="72" t="s">
        <v>136</v>
      </c>
      <c r="C14" s="73" t="s">
        <v>379</v>
      </c>
      <c r="D14" s="91">
        <f>10.32*12.1/1000</f>
        <v>0.124872</v>
      </c>
      <c r="E14" s="324">
        <f t="shared" si="0"/>
        <v>9.6055384615384612E-2</v>
      </c>
      <c r="F14" s="226" t="s">
        <v>212</v>
      </c>
      <c r="G14" s="195"/>
      <c r="H14" s="69">
        <f t="shared" si="1"/>
        <v>0</v>
      </c>
      <c r="I14" s="121"/>
      <c r="J14" s="70"/>
    </row>
    <row r="15" spans="1:10">
      <c r="A15" s="71"/>
      <c r="B15" s="72" t="s">
        <v>97</v>
      </c>
      <c r="C15" s="73" t="s">
        <v>49</v>
      </c>
      <c r="D15" s="91">
        <f>5.5</f>
        <v>5.5</v>
      </c>
      <c r="E15" s="83">
        <f t="shared" si="0"/>
        <v>4.2307692307692308</v>
      </c>
      <c r="F15" s="226" t="s">
        <v>212</v>
      </c>
      <c r="G15" s="195"/>
      <c r="H15" s="69">
        <f t="shared" si="1"/>
        <v>0</v>
      </c>
      <c r="I15" s="121"/>
      <c r="J15" s="70"/>
    </row>
    <row r="16" spans="1:10">
      <c r="A16" s="71"/>
      <c r="B16" s="72" t="s">
        <v>13</v>
      </c>
      <c r="C16" s="73" t="s">
        <v>6</v>
      </c>
      <c r="D16" s="91">
        <f>14.58</f>
        <v>14.58</v>
      </c>
      <c r="E16" s="83">
        <f t="shared" si="0"/>
        <v>11.215384615384615</v>
      </c>
      <c r="F16" s="226" t="s">
        <v>212</v>
      </c>
      <c r="G16" s="195"/>
      <c r="H16" s="210">
        <f t="shared" si="1"/>
        <v>0</v>
      </c>
      <c r="I16" s="121"/>
      <c r="J16" s="70"/>
    </row>
    <row r="17" spans="1:10">
      <c r="A17" s="12"/>
      <c r="B17" s="58" t="s">
        <v>151</v>
      </c>
      <c r="C17" s="59"/>
      <c r="D17" s="92"/>
      <c r="E17" s="84"/>
      <c r="F17" s="227"/>
      <c r="G17" s="36"/>
      <c r="H17" s="34">
        <f>SUM(H3:H16)</f>
        <v>0</v>
      </c>
      <c r="I17" s="123">
        <f>'2.1 Vortriebsdauer Ka_Str RST'!D5</f>
        <v>171.3</v>
      </c>
      <c r="J17" s="34">
        <f>H17*I17</f>
        <v>0</v>
      </c>
    </row>
    <row r="18" spans="1:10">
      <c r="A18" s="12"/>
      <c r="B18" s="58" t="s">
        <v>144</v>
      </c>
      <c r="C18" s="59"/>
      <c r="D18" s="92"/>
      <c r="E18" s="84"/>
      <c r="F18" s="227"/>
      <c r="G18" s="36"/>
      <c r="H18" s="34">
        <f>SUM(H3:H16)</f>
        <v>0</v>
      </c>
      <c r="I18" s="123">
        <f>'2.1 Vortriebsdauer Ka_Str RST'!D14</f>
        <v>16.100000000000001</v>
      </c>
      <c r="J18" s="34">
        <f>H18*I18</f>
        <v>0</v>
      </c>
    </row>
    <row r="19" spans="1:10" ht="3.75" customHeight="1">
      <c r="A19" s="12"/>
      <c r="B19" s="58"/>
      <c r="C19" s="59"/>
      <c r="D19" s="92"/>
      <c r="E19" s="84"/>
      <c r="F19" s="227"/>
      <c r="G19" s="36"/>
      <c r="H19" s="34"/>
      <c r="I19" s="123"/>
      <c r="J19" s="34"/>
    </row>
    <row r="20" spans="1:10" ht="24">
      <c r="A20" s="78" t="s">
        <v>67</v>
      </c>
      <c r="B20" s="155" t="s">
        <v>271</v>
      </c>
      <c r="C20" s="80" t="s">
        <v>5</v>
      </c>
      <c r="D20" s="90">
        <f>28.05*$A$21*0.82</f>
        <v>29.901300000000003</v>
      </c>
      <c r="E20" s="82">
        <f t="shared" ref="E20:E33" si="2">D20/$A$21</f>
        <v>23.001000000000001</v>
      </c>
      <c r="F20" s="225"/>
      <c r="G20" s="197"/>
      <c r="H20" s="35">
        <f>ROUND(E20*G20,2)</f>
        <v>0</v>
      </c>
      <c r="I20" s="121"/>
      <c r="J20" s="70"/>
    </row>
    <row r="21" spans="1:10" ht="24">
      <c r="A21" s="158">
        <v>1.3</v>
      </c>
      <c r="B21" s="155" t="s">
        <v>272</v>
      </c>
      <c r="C21" s="80" t="s">
        <v>5</v>
      </c>
      <c r="D21" s="90">
        <f>28.05*$A$21*0.18</f>
        <v>6.5637000000000008</v>
      </c>
      <c r="E21" s="82">
        <f t="shared" si="2"/>
        <v>5.0490000000000004</v>
      </c>
      <c r="F21" s="234"/>
      <c r="G21" s="200"/>
      <c r="H21" s="35">
        <f t="shared" ref="H21:H33" si="3">ROUND(E21*G21,2)</f>
        <v>0</v>
      </c>
      <c r="I21" s="121"/>
      <c r="J21" s="70"/>
    </row>
    <row r="22" spans="1:10">
      <c r="A22" s="158"/>
      <c r="B22" s="55" t="str">
        <f>'1.0a Rüstzeiten'!A11</f>
        <v>Rüsten Rettungsstollen, Ausbruch Kalotte/Strosse, sprengen</v>
      </c>
      <c r="C22" s="253" t="s">
        <v>49</v>
      </c>
      <c r="D22" s="254">
        <v>0.82</v>
      </c>
      <c r="E22" s="85">
        <f>D22/$A$21</f>
        <v>0.63076923076923075</v>
      </c>
      <c r="F22" s="225" t="s">
        <v>211</v>
      </c>
      <c r="G22" s="128">
        <f>ROUND('1.0a Rüstzeiten'!G11*'1.0 Allgemeines'!F$54/24,2)</f>
        <v>0</v>
      </c>
      <c r="H22" s="35">
        <f t="shared" si="3"/>
        <v>0</v>
      </c>
      <c r="I22" s="121"/>
      <c r="J22" s="70"/>
    </row>
    <row r="23" spans="1:10">
      <c r="A23" s="158"/>
      <c r="B23" s="56" t="str">
        <f>'1.0a Rüstzeiten'!A12</f>
        <v>Rüsten Rettungsstollen, Ausbruch Kalotte/Strosse, mechan. Lösen</v>
      </c>
      <c r="C23" s="102" t="s">
        <v>49</v>
      </c>
      <c r="D23" s="252">
        <v>0.18</v>
      </c>
      <c r="E23" s="83">
        <f>D23/$A$21</f>
        <v>0.13846153846153844</v>
      </c>
      <c r="F23" s="233" t="s">
        <v>211</v>
      </c>
      <c r="G23" s="30">
        <f>ROUND('1.0a Rüstzeiten'!G12*'1.0 Allgemeines'!F$54/24,2)</f>
        <v>0</v>
      </c>
      <c r="H23" s="74">
        <f t="shared" si="3"/>
        <v>0</v>
      </c>
      <c r="I23" s="121"/>
      <c r="J23" s="70"/>
    </row>
    <row r="24" spans="1:10">
      <c r="A24" s="158"/>
      <c r="B24" s="56" t="str">
        <f>'1.0a Rüstzeiten'!A19</f>
        <v>Rüsten Rettungsstollen, Spritzbeton/Bewehrung Kalotte/Strosse</v>
      </c>
      <c r="C24" s="102" t="s">
        <v>49</v>
      </c>
      <c r="D24" s="252">
        <v>1</v>
      </c>
      <c r="E24" s="83">
        <f>D24/$A$21</f>
        <v>0.76923076923076916</v>
      </c>
      <c r="F24" s="233" t="s">
        <v>211</v>
      </c>
      <c r="G24" s="30">
        <f>ROUND('1.0a Rüstzeiten'!G19*'1.0 Allgemeines'!F$54/24,2)</f>
        <v>0</v>
      </c>
      <c r="H24" s="74">
        <f t="shared" si="3"/>
        <v>0</v>
      </c>
      <c r="I24" s="121"/>
      <c r="J24" s="70"/>
    </row>
    <row r="25" spans="1:10">
      <c r="A25" s="158"/>
      <c r="B25" s="156" t="str">
        <f>'1.0a Rüstzeiten'!A24</f>
        <v>Rüsten Rettungsstollen, Ankern und Spießen  Kalotte/Strosse</v>
      </c>
      <c r="C25" s="255" t="s">
        <v>49</v>
      </c>
      <c r="D25" s="124">
        <v>1</v>
      </c>
      <c r="E25" s="99">
        <f>D25/$A$21</f>
        <v>0.76923076923076916</v>
      </c>
      <c r="F25" s="259" t="s">
        <v>211</v>
      </c>
      <c r="G25" s="260">
        <f>ROUND('1.0a Rüstzeiten'!G24*'1.0 Allgemeines'!F$54/24,2)</f>
        <v>0</v>
      </c>
      <c r="H25" s="33">
        <f t="shared" si="3"/>
        <v>0</v>
      </c>
      <c r="I25" s="121"/>
      <c r="J25" s="70"/>
    </row>
    <row r="26" spans="1:10">
      <c r="A26" s="66"/>
      <c r="B26" s="72" t="s">
        <v>38</v>
      </c>
      <c r="C26" s="73" t="s">
        <v>49</v>
      </c>
      <c r="D26" s="91">
        <f>20*0.5</f>
        <v>10</v>
      </c>
      <c r="E26" s="83">
        <f t="shared" si="2"/>
        <v>7.6923076923076916</v>
      </c>
      <c r="F26" s="226" t="str">
        <f t="shared" ref="F26:F33" si="4">A$3</f>
        <v>Kalotte/Strosse 6A.1 RS</v>
      </c>
      <c r="G26" s="70">
        <f>G9</f>
        <v>0</v>
      </c>
      <c r="H26" s="35">
        <f t="shared" si="3"/>
        <v>0</v>
      </c>
      <c r="I26" s="121"/>
      <c r="J26" s="70"/>
    </row>
    <row r="27" spans="1:10">
      <c r="A27" s="71"/>
      <c r="B27" s="72" t="s">
        <v>133</v>
      </c>
      <c r="C27" s="73" t="s">
        <v>49</v>
      </c>
      <c r="D27" s="91">
        <f>20*0.5</f>
        <v>10</v>
      </c>
      <c r="E27" s="83">
        <f t="shared" si="2"/>
        <v>7.6923076923076916</v>
      </c>
      <c r="F27" s="226" t="str">
        <f t="shared" si="4"/>
        <v>Kalotte/Strosse 6A.1 RS</v>
      </c>
      <c r="G27" s="70">
        <f>G10</f>
        <v>0</v>
      </c>
      <c r="H27" s="74">
        <f t="shared" si="3"/>
        <v>0</v>
      </c>
      <c r="I27" s="121"/>
      <c r="J27" s="70"/>
    </row>
    <row r="28" spans="1:10">
      <c r="A28" s="66"/>
      <c r="B28" s="72" t="s">
        <v>66</v>
      </c>
      <c r="C28" s="73" t="s">
        <v>6</v>
      </c>
      <c r="D28" s="91">
        <f>13.32*$A$21</f>
        <v>17.316000000000003</v>
      </c>
      <c r="E28" s="83">
        <f t="shared" si="2"/>
        <v>13.320000000000002</v>
      </c>
      <c r="F28" s="226" t="str">
        <f t="shared" si="4"/>
        <v>Kalotte/Strosse 6A.1 RS</v>
      </c>
      <c r="G28" s="70">
        <f>G11</f>
        <v>0</v>
      </c>
      <c r="H28" s="74">
        <f t="shared" si="3"/>
        <v>0</v>
      </c>
      <c r="I28" s="121"/>
      <c r="J28" s="70"/>
    </row>
    <row r="29" spans="1:10">
      <c r="A29" s="71"/>
      <c r="B29" s="72" t="s">
        <v>83</v>
      </c>
      <c r="C29" s="73" t="s">
        <v>379</v>
      </c>
      <c r="D29" s="91">
        <f>13.32*$A$21*4.12/1000</f>
        <v>7.1341920000000017E-2</v>
      </c>
      <c r="E29" s="324">
        <f t="shared" si="2"/>
        <v>5.4878400000000008E-2</v>
      </c>
      <c r="F29" s="226" t="str">
        <f t="shared" si="4"/>
        <v>Kalotte/Strosse 6A.1 RS</v>
      </c>
      <c r="G29" s="70">
        <f>G12</f>
        <v>0</v>
      </c>
      <c r="H29" s="74">
        <f t="shared" si="3"/>
        <v>0</v>
      </c>
      <c r="I29" s="121"/>
      <c r="J29" s="70"/>
    </row>
    <row r="30" spans="1:10">
      <c r="A30" s="71"/>
      <c r="B30" s="72" t="s">
        <v>101</v>
      </c>
      <c r="C30" s="73" t="s">
        <v>7</v>
      </c>
      <c r="D30" s="91">
        <f>2*$A$21</f>
        <v>2.6</v>
      </c>
      <c r="E30" s="83">
        <f>D30/$A$21</f>
        <v>2</v>
      </c>
      <c r="F30" s="226"/>
      <c r="G30" s="195"/>
      <c r="H30" s="69">
        <f t="shared" si="3"/>
        <v>0</v>
      </c>
      <c r="I30" s="121"/>
      <c r="J30" s="70"/>
    </row>
    <row r="31" spans="1:10">
      <c r="A31" s="66"/>
      <c r="B31" s="72" t="s">
        <v>136</v>
      </c>
      <c r="C31" s="73" t="s">
        <v>379</v>
      </c>
      <c r="D31" s="91">
        <f>13.66*12.1/1000</f>
        <v>0.16528599999999999</v>
      </c>
      <c r="E31" s="324">
        <f t="shared" si="2"/>
        <v>0.12714307692307691</v>
      </c>
      <c r="F31" s="226" t="str">
        <f t="shared" si="4"/>
        <v>Kalotte/Strosse 6A.1 RS</v>
      </c>
      <c r="G31" s="70">
        <f>G14</f>
        <v>0</v>
      </c>
      <c r="H31" s="74">
        <f t="shared" si="3"/>
        <v>0</v>
      </c>
      <c r="I31" s="121"/>
      <c r="J31" s="70"/>
    </row>
    <row r="32" spans="1:10">
      <c r="A32" s="71"/>
      <c r="B32" s="72" t="s">
        <v>97</v>
      </c>
      <c r="C32" s="73" t="s">
        <v>49</v>
      </c>
      <c r="D32" s="91">
        <f>5.5</f>
        <v>5.5</v>
      </c>
      <c r="E32" s="83">
        <f t="shared" si="2"/>
        <v>4.2307692307692308</v>
      </c>
      <c r="F32" s="226" t="str">
        <f t="shared" si="4"/>
        <v>Kalotte/Strosse 6A.1 RS</v>
      </c>
      <c r="G32" s="70">
        <f>G15</f>
        <v>0</v>
      </c>
      <c r="H32" s="74">
        <f t="shared" si="3"/>
        <v>0</v>
      </c>
      <c r="I32" s="121"/>
      <c r="J32" s="70"/>
    </row>
    <row r="33" spans="1:10">
      <c r="A33" s="71"/>
      <c r="B33" s="72" t="s">
        <v>13</v>
      </c>
      <c r="C33" s="73" t="s">
        <v>6</v>
      </c>
      <c r="D33" s="91">
        <f>28.05</f>
        <v>28.05</v>
      </c>
      <c r="E33" s="83">
        <f t="shared" si="2"/>
        <v>21.576923076923077</v>
      </c>
      <c r="F33" s="226" t="str">
        <f t="shared" si="4"/>
        <v>Kalotte/Strosse 6A.1 RS</v>
      </c>
      <c r="G33" s="70">
        <f>G16</f>
        <v>0</v>
      </c>
      <c r="H33" s="33">
        <f t="shared" si="3"/>
        <v>0</v>
      </c>
      <c r="I33" s="121"/>
      <c r="J33" s="70"/>
    </row>
    <row r="34" spans="1:10">
      <c r="A34" s="12"/>
      <c r="B34" s="58" t="s">
        <v>151</v>
      </c>
      <c r="C34" s="59"/>
      <c r="D34" s="92"/>
      <c r="E34" s="84"/>
      <c r="F34" s="227"/>
      <c r="G34" s="36"/>
      <c r="H34" s="34">
        <f>SUM(H20:H33)</f>
        <v>0</v>
      </c>
      <c r="I34" s="123">
        <f>'2.1 Vortriebsdauer Ka_Str RST'!D10</f>
        <v>23.7</v>
      </c>
      <c r="J34" s="34">
        <f>H34*I34</f>
        <v>0</v>
      </c>
    </row>
    <row r="35" spans="1:10">
      <c r="A35" s="12"/>
      <c r="B35" s="58" t="s">
        <v>144</v>
      </c>
      <c r="C35" s="59"/>
      <c r="D35" s="92"/>
      <c r="E35" s="84"/>
      <c r="F35" s="227"/>
      <c r="G35" s="36"/>
      <c r="H35" s="34">
        <f>SUM(H20:H33)</f>
        <v>0</v>
      </c>
      <c r="I35" s="123">
        <f>'2.1 Vortriebsdauer Ka_Str RST'!D15</f>
        <v>13.7</v>
      </c>
      <c r="J35" s="34">
        <f>H35*I35</f>
        <v>0</v>
      </c>
    </row>
    <row r="36" spans="1:10" ht="3.75" customHeight="1">
      <c r="A36" s="12"/>
      <c r="B36" s="58"/>
      <c r="C36" s="59"/>
      <c r="D36" s="92"/>
      <c r="E36" s="84"/>
      <c r="F36" s="227"/>
      <c r="G36" s="36"/>
      <c r="H36" s="34"/>
      <c r="I36" s="123"/>
      <c r="J36" s="34"/>
    </row>
    <row r="37" spans="1:10" ht="24">
      <c r="A37" s="78" t="s">
        <v>69</v>
      </c>
      <c r="B37" s="55" t="s">
        <v>269</v>
      </c>
      <c r="C37" s="60" t="s">
        <v>5</v>
      </c>
      <c r="D37" s="95">
        <f>15.33*$A$38*0.65</f>
        <v>9.964500000000001</v>
      </c>
      <c r="E37" s="84">
        <f t="shared" ref="E37:E52" si="5">D37/$A$38</f>
        <v>9.964500000000001</v>
      </c>
      <c r="F37" s="227"/>
      <c r="G37" s="200"/>
      <c r="H37" s="34">
        <f>ROUND(E37*G37,2)</f>
        <v>0</v>
      </c>
      <c r="I37" s="120"/>
      <c r="J37" s="65"/>
    </row>
    <row r="38" spans="1:10" ht="24">
      <c r="A38" s="97">
        <v>1</v>
      </c>
      <c r="B38" s="155" t="s">
        <v>270</v>
      </c>
      <c r="C38" s="59" t="s">
        <v>5</v>
      </c>
      <c r="D38" s="95">
        <f>15.33*$A$38*0.35</f>
        <v>5.3654999999999999</v>
      </c>
      <c r="E38" s="84">
        <f t="shared" si="5"/>
        <v>5.3654999999999999</v>
      </c>
      <c r="F38" s="227"/>
      <c r="G38" s="200"/>
      <c r="H38" s="34">
        <f t="shared" ref="H38:H54" si="6">ROUND(E38*G38,2)</f>
        <v>0</v>
      </c>
      <c r="I38" s="121"/>
      <c r="J38" s="70"/>
    </row>
    <row r="39" spans="1:10">
      <c r="A39" s="158"/>
      <c r="B39" s="61" t="str">
        <f>'1.0a Rüstzeiten'!A11</f>
        <v>Rüsten Rettungsstollen, Ausbruch Kalotte/Strosse, sprengen</v>
      </c>
      <c r="C39" s="253" t="s">
        <v>49</v>
      </c>
      <c r="D39" s="254">
        <v>0.65</v>
      </c>
      <c r="E39" s="85">
        <f>D39/$A$38</f>
        <v>0.65</v>
      </c>
      <c r="F39" s="225" t="s">
        <v>211</v>
      </c>
      <c r="G39" s="128">
        <f>ROUND('1.0a Rüstzeiten'!G11*'1.0 Allgemeines'!F$55/24,2)</f>
        <v>0</v>
      </c>
      <c r="H39" s="35">
        <f t="shared" si="6"/>
        <v>0</v>
      </c>
      <c r="I39" s="121"/>
      <c r="J39" s="70"/>
    </row>
    <row r="40" spans="1:10">
      <c r="A40" s="158"/>
      <c r="B40" s="56" t="str">
        <f>'1.0a Rüstzeiten'!A12</f>
        <v>Rüsten Rettungsstollen, Ausbruch Kalotte/Strosse, mechan. Lösen</v>
      </c>
      <c r="C40" s="102" t="s">
        <v>49</v>
      </c>
      <c r="D40" s="252">
        <v>0.35</v>
      </c>
      <c r="E40" s="83">
        <f>D40/$A$38</f>
        <v>0.35</v>
      </c>
      <c r="F40" s="233" t="s">
        <v>211</v>
      </c>
      <c r="G40" s="30">
        <f>ROUND('1.0a Rüstzeiten'!G12*'1.0 Allgemeines'!F$55/24,2)</f>
        <v>0</v>
      </c>
      <c r="H40" s="74">
        <f t="shared" si="6"/>
        <v>0</v>
      </c>
      <c r="I40" s="121"/>
      <c r="J40" s="70"/>
    </row>
    <row r="41" spans="1:10">
      <c r="A41" s="158"/>
      <c r="B41" s="56" t="str">
        <f>'1.0a Rüstzeiten'!A19</f>
        <v>Rüsten Rettungsstollen, Spritzbeton/Bewehrung Kalotte/Strosse</v>
      </c>
      <c r="C41" s="102" t="s">
        <v>49</v>
      </c>
      <c r="D41" s="252">
        <v>1</v>
      </c>
      <c r="E41" s="83">
        <f>D41/$A$38</f>
        <v>1</v>
      </c>
      <c r="F41" s="233" t="s">
        <v>211</v>
      </c>
      <c r="G41" s="30">
        <f>ROUND('1.0a Rüstzeiten'!G19*'1.0 Allgemeines'!F$55/24,2)</f>
        <v>0</v>
      </c>
      <c r="H41" s="74">
        <f t="shared" si="6"/>
        <v>0</v>
      </c>
      <c r="I41" s="121"/>
      <c r="J41" s="70"/>
    </row>
    <row r="42" spans="1:10">
      <c r="A42" s="158"/>
      <c r="B42" s="156" t="str">
        <f>'1.0a Rüstzeiten'!A24</f>
        <v>Rüsten Rettungsstollen, Ankern und Spießen  Kalotte/Strosse</v>
      </c>
      <c r="C42" s="255" t="s">
        <v>49</v>
      </c>
      <c r="D42" s="124">
        <v>1</v>
      </c>
      <c r="E42" s="99">
        <f>D42/$A$38</f>
        <v>1</v>
      </c>
      <c r="F42" s="259" t="s">
        <v>211</v>
      </c>
      <c r="G42" s="260">
        <f>ROUND('1.0a Rüstzeiten'!G24*'1.0 Allgemeines'!F$55/24,2)</f>
        <v>0</v>
      </c>
      <c r="H42" s="33">
        <f t="shared" si="6"/>
        <v>0</v>
      </c>
      <c r="I42" s="121"/>
      <c r="J42" s="70"/>
    </row>
    <row r="43" spans="1:10">
      <c r="A43" s="71"/>
      <c r="B43" s="72" t="s">
        <v>134</v>
      </c>
      <c r="C43" s="73" t="s">
        <v>49</v>
      </c>
      <c r="D43" s="91">
        <v>8</v>
      </c>
      <c r="E43" s="83">
        <f t="shared" si="5"/>
        <v>8</v>
      </c>
      <c r="F43" s="226" t="str">
        <f>A$3</f>
        <v>Kalotte/Strosse 6A.1 RS</v>
      </c>
      <c r="G43" s="70">
        <f>G10</f>
        <v>0</v>
      </c>
      <c r="H43" s="74">
        <f t="shared" si="6"/>
        <v>0</v>
      </c>
      <c r="I43" s="121"/>
      <c r="J43" s="70"/>
    </row>
    <row r="44" spans="1:10">
      <c r="A44" s="76"/>
      <c r="B44" s="72" t="s">
        <v>135</v>
      </c>
      <c r="C44" s="73" t="s">
        <v>49</v>
      </c>
      <c r="D44" s="91">
        <v>8</v>
      </c>
      <c r="E44" s="83">
        <f t="shared" si="5"/>
        <v>8</v>
      </c>
      <c r="F44" s="226"/>
      <c r="G44" s="195"/>
      <c r="H44" s="74">
        <f t="shared" si="6"/>
        <v>0</v>
      </c>
      <c r="I44" s="121"/>
      <c r="J44" s="70"/>
    </row>
    <row r="45" spans="1:10">
      <c r="A45" s="76"/>
      <c r="B45" s="72" t="s">
        <v>10</v>
      </c>
      <c r="C45" s="73" t="s">
        <v>6</v>
      </c>
      <c r="D45" s="91">
        <f>10.07*$A$38</f>
        <v>10.07</v>
      </c>
      <c r="E45" s="83">
        <f t="shared" si="5"/>
        <v>10.07</v>
      </c>
      <c r="F45" s="226"/>
      <c r="G45" s="195"/>
      <c r="H45" s="74">
        <f t="shared" si="6"/>
        <v>0</v>
      </c>
      <c r="I45" s="121"/>
      <c r="J45" s="70"/>
    </row>
    <row r="46" spans="1:10">
      <c r="A46" s="71"/>
      <c r="B46" s="72" t="s">
        <v>83</v>
      </c>
      <c r="C46" s="73" t="s">
        <v>379</v>
      </c>
      <c r="D46" s="91">
        <f>10.07*$A$38*4.12/1000</f>
        <v>4.1488400000000009E-2</v>
      </c>
      <c r="E46" s="324">
        <f>D46/$A$38</f>
        <v>4.1488400000000009E-2</v>
      </c>
      <c r="F46" s="226" t="str">
        <f>A$3</f>
        <v>Kalotte/Strosse 6A.1 RS</v>
      </c>
      <c r="G46" s="70">
        <f>G12</f>
        <v>0</v>
      </c>
      <c r="H46" s="74">
        <f t="shared" si="6"/>
        <v>0</v>
      </c>
      <c r="I46" s="121"/>
      <c r="J46" s="70"/>
    </row>
    <row r="47" spans="1:10">
      <c r="A47" s="71"/>
      <c r="B47" s="72" t="s">
        <v>137</v>
      </c>
      <c r="C47" s="73" t="s">
        <v>379</v>
      </c>
      <c r="D47" s="91">
        <f>10.07*$A$38*4.12/1000</f>
        <v>4.1488400000000009E-2</v>
      </c>
      <c r="E47" s="324">
        <f t="shared" si="5"/>
        <v>4.1488400000000009E-2</v>
      </c>
      <c r="F47" s="226"/>
      <c r="G47" s="195"/>
      <c r="H47" s="74">
        <f t="shared" si="6"/>
        <v>0</v>
      </c>
      <c r="I47" s="121"/>
      <c r="J47" s="70"/>
    </row>
    <row r="48" spans="1:10">
      <c r="A48" s="71"/>
      <c r="B48" s="72" t="s">
        <v>101</v>
      </c>
      <c r="C48" s="73" t="s">
        <v>7</v>
      </c>
      <c r="D48" s="91">
        <f>2*A38</f>
        <v>2</v>
      </c>
      <c r="E48" s="83">
        <f>D48/$A$38</f>
        <v>2</v>
      </c>
      <c r="F48" s="226"/>
      <c r="G48" s="195"/>
      <c r="H48" s="74">
        <f t="shared" si="6"/>
        <v>0</v>
      </c>
      <c r="I48" s="121"/>
      <c r="J48" s="70"/>
    </row>
    <row r="49" spans="1:10">
      <c r="A49" s="71"/>
      <c r="B49" s="72" t="s">
        <v>28</v>
      </c>
      <c r="C49" s="73" t="s">
        <v>379</v>
      </c>
      <c r="D49" s="91">
        <f>10.46*12.7/1000</f>
        <v>0.13284200000000002</v>
      </c>
      <c r="E49" s="324">
        <f t="shared" si="5"/>
        <v>0.13284200000000002</v>
      </c>
      <c r="F49" s="226"/>
      <c r="G49" s="195"/>
      <c r="H49" s="74">
        <f t="shared" si="6"/>
        <v>0</v>
      </c>
      <c r="I49" s="121"/>
      <c r="J49" s="70"/>
    </row>
    <row r="50" spans="1:10">
      <c r="A50" s="71"/>
      <c r="B50" s="72" t="s">
        <v>96</v>
      </c>
      <c r="C50" s="73" t="s">
        <v>49</v>
      </c>
      <c r="D50" s="91">
        <f>5.5</f>
        <v>5.5</v>
      </c>
      <c r="E50" s="83">
        <f t="shared" si="5"/>
        <v>5.5</v>
      </c>
      <c r="F50" s="226"/>
      <c r="G50" s="195"/>
      <c r="H50" s="74">
        <f t="shared" si="6"/>
        <v>0</v>
      </c>
      <c r="I50" s="121"/>
      <c r="J50" s="70"/>
    </row>
    <row r="51" spans="1:10">
      <c r="A51" s="71"/>
      <c r="B51" s="72" t="s">
        <v>82</v>
      </c>
      <c r="C51" s="73" t="s">
        <v>6</v>
      </c>
      <c r="D51" s="91">
        <f>15.33</f>
        <v>15.33</v>
      </c>
      <c r="E51" s="83">
        <f t="shared" si="5"/>
        <v>15.33</v>
      </c>
      <c r="F51" s="226"/>
      <c r="G51" s="195"/>
      <c r="H51" s="74">
        <f t="shared" si="6"/>
        <v>0</v>
      </c>
      <c r="I51" s="121"/>
      <c r="J51" s="70"/>
    </row>
    <row r="52" spans="1:10">
      <c r="A52" s="71"/>
      <c r="B52" s="72" t="s">
        <v>15</v>
      </c>
      <c r="C52" s="73" t="s">
        <v>379</v>
      </c>
      <c r="D52" s="91">
        <f>15.33*3.02/1000</f>
        <v>4.62966E-2</v>
      </c>
      <c r="E52" s="324">
        <f t="shared" si="5"/>
        <v>4.62966E-2</v>
      </c>
      <c r="F52" s="226"/>
      <c r="G52" s="195"/>
      <c r="H52" s="74">
        <f t="shared" si="6"/>
        <v>0</v>
      </c>
      <c r="I52" s="121"/>
      <c r="J52" s="70"/>
    </row>
    <row r="53" spans="1:10">
      <c r="A53" s="71"/>
      <c r="B53" s="72" t="s">
        <v>80</v>
      </c>
      <c r="C53" s="73" t="s">
        <v>49</v>
      </c>
      <c r="D53" s="91">
        <f>3/8*$A$38</f>
        <v>0.375</v>
      </c>
      <c r="E53" s="83">
        <f>D53/$A$38</f>
        <v>0.375</v>
      </c>
      <c r="F53" s="226"/>
      <c r="G53" s="195"/>
      <c r="H53" s="74">
        <f t="shared" si="6"/>
        <v>0</v>
      </c>
      <c r="I53" s="121"/>
      <c r="J53" s="70"/>
    </row>
    <row r="54" spans="1:10" ht="24">
      <c r="A54" s="114"/>
      <c r="B54" s="156" t="s">
        <v>81</v>
      </c>
      <c r="C54" s="73" t="s">
        <v>49</v>
      </c>
      <c r="D54" s="91">
        <f>3*12/8*$A$38</f>
        <v>4.5</v>
      </c>
      <c r="E54" s="83">
        <f>D54/$A$38</f>
        <v>4.5</v>
      </c>
      <c r="F54" s="226"/>
      <c r="G54" s="201"/>
      <c r="H54" s="33">
        <f t="shared" si="6"/>
        <v>0</v>
      </c>
      <c r="I54" s="166"/>
      <c r="J54" s="115"/>
    </row>
    <row r="55" spans="1:10">
      <c r="A55" s="12"/>
      <c r="B55" s="58" t="s">
        <v>151</v>
      </c>
      <c r="C55" s="59"/>
      <c r="D55" s="92"/>
      <c r="E55" s="84"/>
      <c r="F55" s="227"/>
      <c r="G55" s="36"/>
      <c r="H55" s="34">
        <f>SUM(H37:H54)</f>
        <v>0</v>
      </c>
      <c r="I55" s="123">
        <f>'2.1 Vortriebsdauer Ka_Str RST'!D6</f>
        <v>32.6</v>
      </c>
      <c r="J55" s="34">
        <f>H55*I55</f>
        <v>0</v>
      </c>
    </row>
    <row r="56" spans="1:10">
      <c r="A56" s="12"/>
      <c r="B56" s="58" t="s">
        <v>144</v>
      </c>
      <c r="C56" s="59"/>
      <c r="D56" s="92"/>
      <c r="E56" s="84"/>
      <c r="F56" s="227"/>
      <c r="G56" s="36"/>
      <c r="H56" s="34">
        <f>SUM(H37:H54)</f>
        <v>0</v>
      </c>
      <c r="I56" s="123">
        <f>'2.1 Vortriebsdauer Ka_Str RST'!D16</f>
        <v>8</v>
      </c>
      <c r="J56" s="34">
        <f>H56*I56</f>
        <v>0</v>
      </c>
    </row>
    <row r="57" spans="1:10" ht="4.5" customHeight="1">
      <c r="A57" s="389" t="s">
        <v>100</v>
      </c>
      <c r="B57" s="390"/>
      <c r="C57" s="62"/>
      <c r="D57" s="130"/>
      <c r="E57" s="86"/>
      <c r="F57" s="229"/>
      <c r="G57" s="51"/>
      <c r="H57" s="51"/>
      <c r="I57" s="51"/>
      <c r="J57" s="52"/>
    </row>
    <row r="58" spans="1:10" ht="18" customHeight="1">
      <c r="A58" s="391"/>
      <c r="B58" s="392"/>
      <c r="C58" s="63"/>
      <c r="D58" s="131"/>
      <c r="E58" s="87"/>
      <c r="F58" s="230"/>
      <c r="G58" s="39"/>
      <c r="H58" s="39"/>
      <c r="I58" s="39"/>
      <c r="J58" s="98">
        <f>SUM(J3:J56)</f>
        <v>0</v>
      </c>
    </row>
    <row r="60" spans="1:10" ht="71.25" customHeight="1">
      <c r="A60" s="393" t="s">
        <v>362</v>
      </c>
      <c r="B60" s="393"/>
      <c r="C60" s="393"/>
      <c r="D60" s="393"/>
      <c r="E60" s="393"/>
      <c r="F60" s="393"/>
      <c r="G60" s="393"/>
      <c r="H60" s="393"/>
      <c r="I60" s="393"/>
      <c r="J60" s="393"/>
    </row>
  </sheetData>
  <sheetProtection algorithmName="SHA-512" hashValue="bkSSDX0AKTejb2MTF/rG9U2rdCEoNndOiO7XV5ZOcHKq1AxlmjiyJoNVJLhEvwHC2AWGAQBxwmR2wFb3VWcXwg==" saltValue="yziAggmlNaF2zfNc+y62aA==" spinCount="100000" sheet="1" objects="1" scenarios="1"/>
  <autoFilter ref="A2:J58" xr:uid="{C517C316-19CE-4B08-A234-E37D1DF17884}"/>
  <mergeCells count="4">
    <mergeCell ref="A1:E1"/>
    <mergeCell ref="G1:J1"/>
    <mergeCell ref="A57:B58"/>
    <mergeCell ref="A60:J60"/>
  </mergeCells>
  <conditionalFormatting sqref="A1:J1 A2:E2 A3:J4 A9:E16 A17:J21 A43:J73">
    <cfRule type="expression" dxfId="41" priority="3">
      <formula>CELL("Schutz",A1)=0</formula>
    </cfRule>
  </conditionalFormatting>
  <conditionalFormatting sqref="A26:J38">
    <cfRule type="expression" dxfId="40" priority="1">
      <formula>CELL("Schutz",A26)=0</formula>
    </cfRule>
  </conditionalFormatting>
  <conditionalFormatting sqref="B5:H8">
    <cfRule type="expression" dxfId="39" priority="11">
      <formula>CELL("Schutz",B5)=0</formula>
    </cfRule>
  </conditionalFormatting>
  <conditionalFormatting sqref="B22:H25">
    <cfRule type="expression" dxfId="38" priority="8">
      <formula>CELL("Schutz",B22)=0</formula>
    </cfRule>
  </conditionalFormatting>
  <conditionalFormatting sqref="B39:H42">
    <cfRule type="expression" dxfId="37" priority="7">
      <formula>CELL("Schutz",B39)=0</formula>
    </cfRule>
  </conditionalFormatting>
  <conditionalFormatting sqref="F9:F16">
    <cfRule type="expression" dxfId="36" priority="12">
      <formula>CELL("Schutz",F9)=0</formula>
    </cfRule>
  </conditionalFormatting>
  <conditionalFormatting sqref="F2:H2">
    <cfRule type="expression" dxfId="35" priority="6">
      <formula>CELL("Schutz",F2)=0</formula>
    </cfRule>
  </conditionalFormatting>
  <conditionalFormatting sqref="G9:J16">
    <cfRule type="expression" dxfId="34" priority="2">
      <formula>CELL("Schutz",G9)=0</formula>
    </cfRule>
  </conditionalFormatting>
  <conditionalFormatting sqref="I2:J2 A5:A8 I5:J8 A22:A25 I22:J25 A39:A42 I39:J42">
    <cfRule type="expression" dxfId="33" priority="24">
      <formula>CELL("Schutz",A2)=0</formula>
    </cfRule>
  </conditionalFormatting>
  <dataValidations disablePrompts="1" count="1">
    <dataValidation type="custom" errorStyle="warning" allowBlank="1" showInputMessage="1" showErrorMessage="1" error="Nur zwei Nachkommastellen zulässig!" sqref="G3:G56" xr:uid="{CE835452-B3A1-4495-B36C-D52D4F602214}">
      <formula1>MOD(G3*(10^2),1)&lt;(10^-10)</formula1>
    </dataValidation>
  </dataValidations>
  <pageMargins left="0.70866141732283472" right="0.70866141732283472" top="0.78740157480314965" bottom="0.78740157480314965" header="0.31496062992125984" footer="0.31496062992125984"/>
  <pageSetup paperSize="9" scale="71" fitToHeight="0" orientation="landscape" useFirstPageNumber="1" r:id="rId1"/>
  <headerFooter>
    <oddHeader>&amp;L&amp;"Arial,Fett"&amp;10Bieterangaben zeitgebundene Kosten Tunnel Kauerndorf
Unterlage 01.03-2.2 Ermittlung der Lohnstunden Kalotte/Strosse Rettungsstollen
&amp;R&amp;9...................................................
Bieter</oddHeader>
    <oddFooter>&amp;R&amp;9&amp;A
Blattseite &amp;P</oddFooter>
  </headerFooter>
  <rowBreaks count="1" manualBreakCount="1">
    <brk id="36"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F2383-33E2-4639-9970-D1C6C0693574}">
  <sheetPr>
    <tabColor theme="7" tint="-0.249977111117893"/>
  </sheetPr>
  <dimension ref="A2:I20"/>
  <sheetViews>
    <sheetView showGridLines="0" view="pageBreakPreview" zoomScale="91" zoomScaleNormal="100" zoomScaleSheetLayoutView="91" workbookViewId="0">
      <selection activeCell="G16" sqref="G16"/>
    </sheetView>
  </sheetViews>
  <sheetFormatPr baseColWidth="10" defaultRowHeight="14.25"/>
  <cols>
    <col min="1" max="1" width="11.75" style="1" customWidth="1"/>
    <col min="2" max="2" width="7.875" style="1" customWidth="1"/>
    <col min="3" max="3" width="9.875" style="1" customWidth="1"/>
    <col min="4" max="4" width="13.5" style="28" customWidth="1"/>
    <col min="5" max="8" width="17.375" style="28" customWidth="1"/>
    <col min="9" max="9" width="12.75" style="28" customWidth="1"/>
  </cols>
  <sheetData>
    <row r="2" spans="1:9" s="3" customFormat="1" ht="28.35" customHeight="1">
      <c r="A2" s="380" t="s">
        <v>158</v>
      </c>
      <c r="B2" s="381"/>
      <c r="C2" s="381"/>
      <c r="D2" s="382"/>
      <c r="E2" s="378" t="s">
        <v>1</v>
      </c>
      <c r="F2" s="379"/>
      <c r="G2" s="48"/>
      <c r="H2" s="48" t="s">
        <v>2</v>
      </c>
      <c r="I2" s="127"/>
    </row>
    <row r="3" spans="1:9" s="3" customFormat="1" ht="73.5" customHeight="1">
      <c r="A3" s="47"/>
      <c r="B3" s="47" t="s">
        <v>27</v>
      </c>
      <c r="C3" s="47" t="s">
        <v>3</v>
      </c>
      <c r="D3" s="237" t="s">
        <v>329</v>
      </c>
      <c r="E3" s="48" t="s">
        <v>155</v>
      </c>
      <c r="F3" s="48" t="s">
        <v>157</v>
      </c>
      <c r="G3" s="141" t="s">
        <v>226</v>
      </c>
      <c r="H3" s="48" t="s">
        <v>156</v>
      </c>
      <c r="I3" s="93" t="s">
        <v>254</v>
      </c>
    </row>
    <row r="4" spans="1:9" s="3" customFormat="1" ht="20.25" customHeight="1">
      <c r="A4" s="6" t="s">
        <v>60</v>
      </c>
      <c r="B4" s="8"/>
      <c r="C4" s="8"/>
      <c r="D4" s="8"/>
      <c r="E4" s="8"/>
      <c r="F4" s="128"/>
      <c r="G4" s="128"/>
      <c r="H4" s="128"/>
      <c r="I4" s="103"/>
    </row>
    <row r="5" spans="1:9" s="3" customFormat="1" ht="20.25" customHeight="1">
      <c r="A5" s="49" t="s">
        <v>57</v>
      </c>
      <c r="B5" s="159" t="s">
        <v>146</v>
      </c>
      <c r="C5" s="50">
        <f>'2.4 Lohnstunden So RST'!A5</f>
        <v>2.6</v>
      </c>
      <c r="D5" s="159">
        <f>'2.1 Vortriebsdauer Ka_Str RST'!D5</f>
        <v>171.3</v>
      </c>
      <c r="E5" s="29" t="e">
        <f>ROUND(F5/C5,2)</f>
        <v>#DIV/0!</v>
      </c>
      <c r="F5" s="29" t="e">
        <f>ROUND(G5/I5,2)</f>
        <v>#DIV/0!</v>
      </c>
      <c r="G5" s="172">
        <f>'1.0 Allgemeines'!F56</f>
        <v>0</v>
      </c>
      <c r="H5" s="29" t="e">
        <f>ROUND(D5/F5,2)</f>
        <v>#DIV/0!</v>
      </c>
      <c r="I5" s="172">
        <f>'2.4 Lohnstunden So RST'!H10</f>
        <v>0</v>
      </c>
    </row>
    <row r="6" spans="1:9" s="3" customFormat="1" ht="20.25" customHeight="1">
      <c r="A6" s="49" t="s">
        <v>59</v>
      </c>
      <c r="B6" s="159" t="s">
        <v>148</v>
      </c>
      <c r="C6" s="50">
        <f>'2.4 Lohnstunden So RST'!A23</f>
        <v>2</v>
      </c>
      <c r="D6" s="159">
        <f>'2.1 Vortriebsdauer Ka_Str RST'!D6</f>
        <v>32.6</v>
      </c>
      <c r="E6" s="29" t="e">
        <f>ROUND(F6/C6,2)</f>
        <v>#DIV/0!</v>
      </c>
      <c r="F6" s="29" t="e">
        <f>ROUND(G6/I6,2)</f>
        <v>#DIV/0!</v>
      </c>
      <c r="G6" s="29">
        <f>'1.0 Allgemeines'!F58</f>
        <v>0</v>
      </c>
      <c r="H6" s="29" t="e">
        <f>ROUND(D6/F6,2)</f>
        <v>#DIV/0!</v>
      </c>
      <c r="I6" s="172">
        <f>'2.4 Lohnstunden So RST'!H31</f>
        <v>0</v>
      </c>
    </row>
    <row r="7" spans="1:9" ht="15">
      <c r="A7" s="408" t="s">
        <v>234</v>
      </c>
      <c r="B7" s="409"/>
      <c r="C7" s="409"/>
      <c r="D7" s="409"/>
      <c r="E7" s="409"/>
      <c r="F7" s="409"/>
      <c r="G7" s="189"/>
      <c r="H7" s="157"/>
      <c r="I7" s="165">
        <f>'2.4 Lohnstunden So RST'!J10+'2.4 Lohnstunden So RST'!J31</f>
        <v>0</v>
      </c>
    </row>
    <row r="8" spans="1:9">
      <c r="A8" s="408" t="s">
        <v>174</v>
      </c>
      <c r="B8" s="409"/>
      <c r="C8" s="409"/>
      <c r="D8" s="409"/>
      <c r="E8" s="409"/>
      <c r="F8" s="409"/>
      <c r="G8" s="190"/>
      <c r="H8" s="46" t="e">
        <f>SUM(H5:H6)</f>
        <v>#DIV/0!</v>
      </c>
      <c r="I8" s="165"/>
    </row>
    <row r="9" spans="1:9" s="3" customFormat="1" ht="20.25" customHeight="1">
      <c r="A9" s="6" t="s">
        <v>60</v>
      </c>
      <c r="B9" s="8"/>
      <c r="C9" s="8"/>
      <c r="D9" s="8"/>
      <c r="E9" s="8"/>
      <c r="F9" s="128"/>
      <c r="G9" s="128"/>
      <c r="H9" s="128"/>
      <c r="I9" s="103"/>
    </row>
    <row r="10" spans="1:9" s="3" customFormat="1" ht="20.25" customHeight="1">
      <c r="A10" s="49" t="s">
        <v>58</v>
      </c>
      <c r="B10" s="159" t="s">
        <v>148</v>
      </c>
      <c r="C10" s="50">
        <f>'2.4 Lohnstunden So RST'!A14</f>
        <v>2.6</v>
      </c>
      <c r="D10" s="159">
        <f>'2.1 Vortriebsdauer Ka_Str RST'!D10</f>
        <v>23.7</v>
      </c>
      <c r="E10" s="29" t="e">
        <f>ROUND(F10/C10,2)</f>
        <v>#DIV/0!</v>
      </c>
      <c r="F10" s="29" t="e">
        <f>ROUND(G10/I10,2)</f>
        <v>#DIV/0!</v>
      </c>
      <c r="G10" s="29">
        <f>'1.0 Allgemeines'!F57</f>
        <v>0</v>
      </c>
      <c r="H10" s="29" t="e">
        <f>ROUND(D10/F10,2)</f>
        <v>#DIV/0!</v>
      </c>
      <c r="I10" s="172">
        <f>'2.4 Lohnstunden So RST'!H19</f>
        <v>0</v>
      </c>
    </row>
    <row r="11" spans="1:9" ht="15">
      <c r="A11" s="408" t="s">
        <v>235</v>
      </c>
      <c r="B11" s="409"/>
      <c r="C11" s="409"/>
      <c r="D11" s="409"/>
      <c r="E11" s="409"/>
      <c r="F11" s="409"/>
      <c r="G11" s="189"/>
      <c r="H11" s="157"/>
      <c r="I11" s="165">
        <f>'2.4 Lohnstunden So RST'!J19</f>
        <v>0</v>
      </c>
    </row>
    <row r="12" spans="1:9">
      <c r="A12" s="408" t="s">
        <v>175</v>
      </c>
      <c r="B12" s="409"/>
      <c r="C12" s="409"/>
      <c r="D12" s="409"/>
      <c r="E12" s="409"/>
      <c r="F12" s="409"/>
      <c r="G12" s="190"/>
      <c r="H12" s="46" t="e">
        <f>SUM(H10:H10)</f>
        <v>#DIV/0!</v>
      </c>
      <c r="I12" s="165"/>
    </row>
    <row r="13" spans="1:9" s="3" customFormat="1" ht="20.25" customHeight="1">
      <c r="A13" s="6" t="s">
        <v>60</v>
      </c>
      <c r="B13" s="8"/>
      <c r="C13" s="8"/>
      <c r="D13" s="8"/>
      <c r="E13" s="8"/>
      <c r="F13" s="128"/>
      <c r="G13" s="128"/>
      <c r="H13" s="128"/>
      <c r="I13" s="103"/>
    </row>
    <row r="14" spans="1:9" s="3" customFormat="1" ht="20.25" customHeight="1">
      <c r="A14" s="49" t="s">
        <v>57</v>
      </c>
      <c r="B14" s="159" t="s">
        <v>147</v>
      </c>
      <c r="C14" s="50">
        <f>'2.4 Lohnstunden So RST'!A5</f>
        <v>2.6</v>
      </c>
      <c r="D14" s="159">
        <f>'2.1 Vortriebsdauer Ka_Str RST'!D14</f>
        <v>16.100000000000001</v>
      </c>
      <c r="E14" s="29" t="e">
        <f>ROUND(F14/C14,2)</f>
        <v>#DIV/0!</v>
      </c>
      <c r="F14" s="29" t="e">
        <f>ROUND(G14/I14,2)</f>
        <v>#DIV/0!</v>
      </c>
      <c r="G14" s="29">
        <f>'1.0 Allgemeines'!F56</f>
        <v>0</v>
      </c>
      <c r="H14" s="29" t="e">
        <f>ROUND(D14/F14,2)</f>
        <v>#DIV/0!</v>
      </c>
      <c r="I14" s="172">
        <f>'2.4 Lohnstunden So RST'!H11</f>
        <v>0</v>
      </c>
    </row>
    <row r="15" spans="1:9" s="3" customFormat="1" ht="20.25" customHeight="1">
      <c r="A15" s="49" t="s">
        <v>58</v>
      </c>
      <c r="B15" s="159" t="s">
        <v>147</v>
      </c>
      <c r="C15" s="50">
        <f>'2.4 Lohnstunden So RST'!A14</f>
        <v>2.6</v>
      </c>
      <c r="D15" s="159">
        <f>'2.1 Vortriebsdauer Ka_Str RST'!D15</f>
        <v>13.7</v>
      </c>
      <c r="E15" s="29" t="e">
        <f>ROUND(F15/C15,2)</f>
        <v>#DIV/0!</v>
      </c>
      <c r="F15" s="29" t="e">
        <f>ROUND(G15/I15,2)</f>
        <v>#DIV/0!</v>
      </c>
      <c r="G15" s="29">
        <f>'1.0 Allgemeines'!F57</f>
        <v>0</v>
      </c>
      <c r="H15" s="29" t="e">
        <f>ROUND(D15/F15,2)</f>
        <v>#DIV/0!</v>
      </c>
      <c r="I15" s="172">
        <f>'2.4 Lohnstunden So RST'!H20</f>
        <v>0</v>
      </c>
    </row>
    <row r="16" spans="1:9" s="3" customFormat="1" ht="20.25" customHeight="1">
      <c r="A16" s="49" t="s">
        <v>59</v>
      </c>
      <c r="B16" s="159" t="s">
        <v>147</v>
      </c>
      <c r="C16" s="50">
        <f>'2.4 Lohnstunden So RST'!A23</f>
        <v>2</v>
      </c>
      <c r="D16" s="159">
        <f>'2.1 Vortriebsdauer Ka_Str RST'!D16</f>
        <v>8</v>
      </c>
      <c r="E16" s="29" t="e">
        <f>ROUND(F16/C16,2)</f>
        <v>#DIV/0!</v>
      </c>
      <c r="F16" s="29" t="e">
        <f>ROUND(G16/I16,2)</f>
        <v>#DIV/0!</v>
      </c>
      <c r="G16" s="29">
        <f>'1.0 Allgemeines'!F58</f>
        <v>0</v>
      </c>
      <c r="H16" s="29" t="e">
        <f>ROUND(D16/F16,2)</f>
        <v>#DIV/0!</v>
      </c>
      <c r="I16" s="172">
        <f>'2.4 Lohnstunden So RST'!H32</f>
        <v>0</v>
      </c>
    </row>
    <row r="17" spans="1:9" ht="15">
      <c r="A17" s="408" t="s">
        <v>236</v>
      </c>
      <c r="B17" s="409"/>
      <c r="C17" s="409"/>
      <c r="D17" s="409"/>
      <c r="E17" s="409"/>
      <c r="F17" s="409"/>
      <c r="G17" s="189"/>
      <c r="H17" s="157"/>
      <c r="I17" s="165">
        <f>'2.4 Lohnstunden So RST'!J11+'2.4 Lohnstunden So RST'!J20+'2.4 Lohnstunden So RST'!J32</f>
        <v>0</v>
      </c>
    </row>
    <row r="18" spans="1:9">
      <c r="A18" s="408" t="s">
        <v>176</v>
      </c>
      <c r="B18" s="409"/>
      <c r="C18" s="409"/>
      <c r="D18" s="409"/>
      <c r="E18" s="409"/>
      <c r="F18" s="409"/>
      <c r="G18" s="190"/>
      <c r="H18" s="46" t="e">
        <f>SUM(H14:H16)</f>
        <v>#DIV/0!</v>
      </c>
      <c r="I18" s="165"/>
    </row>
    <row r="20" spans="1:9">
      <c r="A20" s="313" t="s">
        <v>330</v>
      </c>
    </row>
  </sheetData>
  <sheetProtection algorithmName="SHA-512" hashValue="/ir9t6TTg4j7p4WlZpBn5IPvCCfLOKzVuYYctEuOEhBW5RROHcxhsbwkCc9UhzTYo4GMj0Ay5kpnIbHu4Errbg==" saltValue="4yCP1eY5y3VKE/2q8FbRog==" spinCount="100000" sheet="1" objects="1" scenarios="1"/>
  <mergeCells count="8">
    <mergeCell ref="A18:F18"/>
    <mergeCell ref="A2:D2"/>
    <mergeCell ref="E2:F2"/>
    <mergeCell ref="A17:F17"/>
    <mergeCell ref="A8:F8"/>
    <mergeCell ref="A7:F7"/>
    <mergeCell ref="A12:F12"/>
    <mergeCell ref="A11:F11"/>
  </mergeCells>
  <conditionalFormatting sqref="A2 E2 G2:H2">
    <cfRule type="expression" dxfId="32" priority="14">
      <formula>CELL("Schutz",A2)=0</formula>
    </cfRule>
  </conditionalFormatting>
  <conditionalFormatting sqref="A3:H3">
    <cfRule type="expression" dxfId="31" priority="1">
      <formula>CELL("Schutz",A3)=0</formula>
    </cfRule>
  </conditionalFormatting>
  <conditionalFormatting sqref="A1:J2 A3:C3 E3:J3 A4:J19 B20:J20 A21:J23">
    <cfRule type="expression" dxfId="30" priority="2">
      <formula>CELL("Schutz",A1)=0</formula>
    </cfRule>
  </conditionalFormatting>
  <conditionalFormatting sqref="E5:F7">
    <cfRule type="expression" dxfId="29" priority="12">
      <formula>CELL("Schutz",E5)=0</formula>
    </cfRule>
  </conditionalFormatting>
  <conditionalFormatting sqref="E10:F11">
    <cfRule type="expression" dxfId="28" priority="10">
      <formula>CELL("Schutz",E10)=0</formula>
    </cfRule>
  </conditionalFormatting>
  <conditionalFormatting sqref="E14:F17">
    <cfRule type="expression" dxfId="27" priority="7">
      <formula>CELL("Schutz",E14)=0</formula>
    </cfRule>
  </conditionalFormatting>
  <conditionalFormatting sqref="G5 I5">
    <cfRule type="expression" dxfId="26" priority="13">
      <formula>CELL("Schutz",G5)=0</formula>
    </cfRule>
  </conditionalFormatting>
  <conditionalFormatting sqref="H5:H7">
    <cfRule type="expression" dxfId="25" priority="11">
      <formula>CELL("Schutz",H5)=0</formula>
    </cfRule>
  </conditionalFormatting>
  <conditionalFormatting sqref="H10:H11">
    <cfRule type="expression" dxfId="24" priority="6">
      <formula>CELL("Schutz",H10)=0</formula>
    </cfRule>
  </conditionalFormatting>
  <conditionalFormatting sqref="H14:H17">
    <cfRule type="expression" dxfId="23" priority="3">
      <formula>CELL("Schutz",H14)=0</formula>
    </cfRule>
  </conditionalFormatting>
  <pageMargins left="0.70866141732283472" right="0.70866141732283472" top="0.78740157480314965" bottom="0.78740157480314965" header="0.31496062992125984" footer="0.31496062992125984"/>
  <pageSetup paperSize="9" scale="89" orientation="landscape" useFirstPageNumber="1" r:id="rId1"/>
  <headerFooter>
    <oddHeader>&amp;L&amp;"Arial,Fett"&amp;10Bieterangaben zeitgebundene Kosten Tunnel Kauerndorf
Unterlage 01.03-2.3 - Ermittlung der Vortriebsdauer Sohle Rettungsstollen&amp;R&amp;9.....................................................
Bieter</oddHeader>
    <oddFooter>&amp;R&amp;A
Blattseite &amp;P</oddFooter>
    <firstFooter>&amp;R&amp;P</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BDB9C-E017-45BA-9166-BF6A2F157BFB}">
  <sheetPr>
    <tabColor theme="7" tint="-0.249977111117893"/>
    <pageSetUpPr fitToPage="1"/>
  </sheetPr>
  <dimension ref="A2:J36"/>
  <sheetViews>
    <sheetView showGridLines="0" view="pageBreakPreview" topLeftCell="A10" zoomScaleNormal="100" zoomScaleSheetLayoutView="100" workbookViewId="0">
      <selection activeCell="A10" sqref="A10:F10"/>
    </sheetView>
  </sheetViews>
  <sheetFormatPr baseColWidth="10" defaultColWidth="11.25" defaultRowHeight="14.25"/>
  <cols>
    <col min="1" max="1" width="18.125" customWidth="1"/>
    <col min="2" max="2" width="50.5" style="64" customWidth="1"/>
    <col min="3" max="3" width="6.75" style="64" customWidth="1"/>
    <col min="4" max="4" width="9.25" style="101" customWidth="1"/>
    <col min="5" max="5" width="9" style="88" customWidth="1"/>
    <col min="6" max="6" width="15.75" style="88" customWidth="1"/>
    <col min="7" max="7" width="19.625" style="37" customWidth="1"/>
    <col min="8" max="8" width="12.625" style="37" customWidth="1"/>
    <col min="9" max="9" width="11.75" style="37" customWidth="1"/>
    <col min="10" max="10" width="12.375" style="38" customWidth="1"/>
    <col min="11" max="11" width="2" customWidth="1"/>
  </cols>
  <sheetData>
    <row r="2" spans="1:10">
      <c r="A2" s="383" t="s">
        <v>26</v>
      </c>
      <c r="B2" s="384"/>
      <c r="C2" s="384"/>
      <c r="D2" s="384"/>
      <c r="E2" s="385"/>
      <c r="F2" s="224"/>
      <c r="G2" s="386" t="s">
        <v>0</v>
      </c>
      <c r="H2" s="387"/>
      <c r="I2" s="387"/>
      <c r="J2" s="388"/>
    </row>
    <row r="3" spans="1:10" ht="57">
      <c r="A3" s="10" t="s">
        <v>47</v>
      </c>
      <c r="B3" s="53" t="s">
        <v>8</v>
      </c>
      <c r="C3" s="53" t="s">
        <v>4</v>
      </c>
      <c r="D3" s="89" t="s">
        <v>44</v>
      </c>
      <c r="E3" s="81" t="s">
        <v>277</v>
      </c>
      <c r="F3" s="81" t="s">
        <v>210</v>
      </c>
      <c r="G3" s="31" t="s">
        <v>361</v>
      </c>
      <c r="H3" s="31" t="s">
        <v>172</v>
      </c>
      <c r="I3" s="31" t="s">
        <v>16</v>
      </c>
      <c r="J3" s="31" t="s">
        <v>9</v>
      </c>
    </row>
    <row r="4" spans="1:10" ht="24">
      <c r="A4" s="160" t="s">
        <v>71</v>
      </c>
      <c r="B4" s="55" t="s">
        <v>75</v>
      </c>
      <c r="C4" s="253" t="s">
        <v>5</v>
      </c>
      <c r="D4" s="254">
        <f>1.69*$A$5</f>
        <v>4.3940000000000001</v>
      </c>
      <c r="E4" s="103">
        <f t="shared" ref="E4:E9" si="0">D4/$A$5</f>
        <v>1.69</v>
      </c>
      <c r="F4" s="225"/>
      <c r="G4" s="194"/>
      <c r="H4" s="164">
        <f t="shared" ref="H4:H9" si="1">ROUND(E4*G4,2)</f>
        <v>0</v>
      </c>
      <c r="I4" s="125"/>
      <c r="J4" s="70"/>
    </row>
    <row r="5" spans="1:10">
      <c r="A5" s="158">
        <v>2.6</v>
      </c>
      <c r="B5" s="61" t="str">
        <f>'1.0a Rüstzeiten'!A13</f>
        <v>Rüsten Rettungsstollen, Ausbruch Sohle, sprengen</v>
      </c>
      <c r="C5" s="60" t="s">
        <v>49</v>
      </c>
      <c r="D5" s="269">
        <v>1</v>
      </c>
      <c r="E5" s="85">
        <f t="shared" si="0"/>
        <v>0.38461538461538458</v>
      </c>
      <c r="F5" s="228" t="s">
        <v>211</v>
      </c>
      <c r="G5" s="65">
        <f>ROUND('1.0a Rüstzeiten'!G13*'1.0 Allgemeines'!F$56/24,2)</f>
        <v>0</v>
      </c>
      <c r="H5" s="35">
        <f t="shared" si="1"/>
        <v>0</v>
      </c>
      <c r="I5" s="121"/>
      <c r="J5" s="70"/>
    </row>
    <row r="6" spans="1:10">
      <c r="A6" s="161"/>
      <c r="B6" s="72" t="str">
        <f>'1.0a Rüstzeiten'!A20</f>
        <v>Rüsten Rettungsstollen, Spritzbeton/Bewehrung Sohle</v>
      </c>
      <c r="C6" s="73" t="s">
        <v>49</v>
      </c>
      <c r="D6" s="91">
        <v>1</v>
      </c>
      <c r="E6" s="83">
        <f t="shared" si="0"/>
        <v>0.38461538461538458</v>
      </c>
      <c r="F6" s="226" t="s">
        <v>211</v>
      </c>
      <c r="G6" s="70">
        <f>ROUND('1.0a Rüstzeiten'!G20*'1.0 Allgemeines'!F$56/24,2)</f>
        <v>0</v>
      </c>
      <c r="H6" s="74">
        <f t="shared" si="1"/>
        <v>0</v>
      </c>
      <c r="I6" s="121"/>
      <c r="J6" s="70"/>
    </row>
    <row r="7" spans="1:10">
      <c r="A7" s="161"/>
      <c r="B7" s="322" t="str">
        <f>'1.0a Rüstzeiten'!A24</f>
        <v>Rüsten Rettungsstollen, Ankern und Spießen  Kalotte/Strosse</v>
      </c>
      <c r="C7" s="106" t="s">
        <v>49</v>
      </c>
      <c r="D7" s="94">
        <v>1</v>
      </c>
      <c r="E7" s="99">
        <f t="shared" si="0"/>
        <v>0.38461538461538458</v>
      </c>
      <c r="F7" s="265" t="s">
        <v>211</v>
      </c>
      <c r="G7" s="115">
        <f>ROUND('1.0a Rüstzeiten'!G24*'1.0 Allgemeines'!F$56/24,2)</f>
        <v>0</v>
      </c>
      <c r="H7" s="33">
        <f t="shared" si="1"/>
        <v>0</v>
      </c>
      <c r="I7" s="121"/>
      <c r="J7" s="70"/>
    </row>
    <row r="8" spans="1:10">
      <c r="A8" s="316"/>
      <c r="B8" s="72" t="s">
        <v>76</v>
      </c>
      <c r="C8" s="73" t="s">
        <v>6</v>
      </c>
      <c r="D8" s="91">
        <f>3.03*$A$5</f>
        <v>7.8780000000000001</v>
      </c>
      <c r="E8" s="83">
        <f t="shared" si="0"/>
        <v>3.03</v>
      </c>
      <c r="F8" s="226" t="s">
        <v>212</v>
      </c>
      <c r="G8" s="195"/>
      <c r="H8" s="125">
        <f t="shared" si="1"/>
        <v>0</v>
      </c>
      <c r="I8" s="121"/>
      <c r="J8" s="70"/>
    </row>
    <row r="9" spans="1:10">
      <c r="A9" s="72"/>
      <c r="B9" s="72" t="s">
        <v>98</v>
      </c>
      <c r="C9" s="73" t="s">
        <v>379</v>
      </c>
      <c r="D9" s="91">
        <f>3.03*$A$5*4.12/1000</f>
        <v>3.2457360000000005E-2</v>
      </c>
      <c r="E9" s="324">
        <f t="shared" si="0"/>
        <v>1.2483600000000001E-2</v>
      </c>
      <c r="F9" s="226" t="s">
        <v>212</v>
      </c>
      <c r="G9" s="195"/>
      <c r="H9" s="211">
        <f t="shared" si="1"/>
        <v>0</v>
      </c>
      <c r="I9" s="121"/>
      <c r="J9" s="70"/>
    </row>
    <row r="10" spans="1:10">
      <c r="A10" s="57"/>
      <c r="B10" s="58" t="s">
        <v>151</v>
      </c>
      <c r="C10" s="59"/>
      <c r="D10" s="92"/>
      <c r="E10" s="84"/>
      <c r="F10" s="227"/>
      <c r="G10" s="36"/>
      <c r="H10" s="123">
        <f>SUM(H4:H9)</f>
        <v>0</v>
      </c>
      <c r="I10" s="123">
        <f>'2.3 Vortriebsdauer So RST'!D5</f>
        <v>171.3</v>
      </c>
      <c r="J10" s="34">
        <f>H10*I10</f>
        <v>0</v>
      </c>
    </row>
    <row r="11" spans="1:10">
      <c r="A11" s="57"/>
      <c r="B11" s="58" t="s">
        <v>144</v>
      </c>
      <c r="C11" s="59"/>
      <c r="D11" s="92"/>
      <c r="E11" s="84"/>
      <c r="F11" s="227"/>
      <c r="G11" s="36"/>
      <c r="H11" s="123">
        <f>SUM(H4:H9)</f>
        <v>0</v>
      </c>
      <c r="I11" s="123">
        <f>'2.3 Vortriebsdauer So RST'!D14</f>
        <v>16.100000000000001</v>
      </c>
      <c r="J11" s="34">
        <f>H11*I11</f>
        <v>0</v>
      </c>
    </row>
    <row r="12" spans="1:10" ht="6.75" customHeight="1">
      <c r="A12" s="57"/>
      <c r="B12" s="58"/>
      <c r="C12" s="59"/>
      <c r="D12" s="92"/>
      <c r="E12" s="84"/>
      <c r="F12" s="227"/>
      <c r="G12" s="36"/>
      <c r="H12" s="123"/>
      <c r="I12" s="123"/>
      <c r="J12" s="34"/>
    </row>
    <row r="13" spans="1:10" ht="24">
      <c r="A13" s="77" t="s">
        <v>72</v>
      </c>
      <c r="B13" s="155" t="s">
        <v>77</v>
      </c>
      <c r="C13" s="80" t="s">
        <v>5</v>
      </c>
      <c r="D13" s="90">
        <f>7.76*$A$14</f>
        <v>20.175999999999998</v>
      </c>
      <c r="E13" s="82">
        <f t="shared" ref="E13:E18" si="2">D13/$A$14</f>
        <v>7.7599999999999989</v>
      </c>
      <c r="F13" s="225"/>
      <c r="G13" s="197"/>
      <c r="H13" s="120">
        <f t="shared" ref="H13:H18" si="3">ROUND(E13*G13,2)</f>
        <v>0</v>
      </c>
      <c r="I13" s="121"/>
      <c r="J13" s="70"/>
    </row>
    <row r="14" spans="1:10">
      <c r="A14" s="158">
        <v>2.6</v>
      </c>
      <c r="B14" s="61" t="str">
        <f>'1.0a Rüstzeiten'!A13</f>
        <v>Rüsten Rettungsstollen, Ausbruch Sohle, sprengen</v>
      </c>
      <c r="C14" s="60" t="s">
        <v>49</v>
      </c>
      <c r="D14" s="269">
        <v>1</v>
      </c>
      <c r="E14" s="85">
        <f t="shared" si="2"/>
        <v>0.38461538461538458</v>
      </c>
      <c r="F14" s="228" t="s">
        <v>211</v>
      </c>
      <c r="G14" s="65">
        <f>ROUND('1.0a Rüstzeiten'!G13*'1.0 Allgemeines'!F$57/24,2)</f>
        <v>0</v>
      </c>
      <c r="H14" s="35">
        <f t="shared" si="3"/>
        <v>0</v>
      </c>
      <c r="I14" s="121"/>
      <c r="J14" s="70"/>
    </row>
    <row r="15" spans="1:10">
      <c r="A15" s="161"/>
      <c r="B15" s="72" t="str">
        <f>'1.0a Rüstzeiten'!A20</f>
        <v>Rüsten Rettungsstollen, Spritzbeton/Bewehrung Sohle</v>
      </c>
      <c r="C15" s="73" t="s">
        <v>49</v>
      </c>
      <c r="D15" s="91">
        <v>1</v>
      </c>
      <c r="E15" s="83">
        <f t="shared" si="2"/>
        <v>0.38461538461538458</v>
      </c>
      <c r="F15" s="226" t="s">
        <v>211</v>
      </c>
      <c r="G15" s="70">
        <f>ROUND('1.0a Rüstzeiten'!G20*'1.0 Allgemeines'!F$57/24,2)</f>
        <v>0</v>
      </c>
      <c r="H15" s="74">
        <f t="shared" si="3"/>
        <v>0</v>
      </c>
      <c r="I15" s="121"/>
      <c r="J15" s="70"/>
    </row>
    <row r="16" spans="1:10">
      <c r="A16" s="161"/>
      <c r="B16" s="322" t="str">
        <f>'1.0a Rüstzeiten'!A24</f>
        <v>Rüsten Rettungsstollen, Ankern und Spießen  Kalotte/Strosse</v>
      </c>
      <c r="C16" s="106" t="s">
        <v>49</v>
      </c>
      <c r="D16" s="94">
        <v>1</v>
      </c>
      <c r="E16" s="99">
        <f t="shared" si="2"/>
        <v>0.38461538461538458</v>
      </c>
      <c r="F16" s="265" t="s">
        <v>211</v>
      </c>
      <c r="G16" s="115">
        <f>ROUND('1.0a Rüstzeiten'!G24*'1.0 Allgemeines'!F$57/24,2)</f>
        <v>0</v>
      </c>
      <c r="H16" s="33">
        <f t="shared" si="3"/>
        <v>0</v>
      </c>
      <c r="I16" s="121"/>
      <c r="J16" s="70"/>
    </row>
    <row r="17" spans="1:10">
      <c r="A17" s="316"/>
      <c r="B17" s="72" t="s">
        <v>76</v>
      </c>
      <c r="C17" s="73" t="s">
        <v>6</v>
      </c>
      <c r="D17" s="91">
        <f>6.65*$A$14</f>
        <v>17.290000000000003</v>
      </c>
      <c r="E17" s="83">
        <f t="shared" si="2"/>
        <v>6.6500000000000012</v>
      </c>
      <c r="F17" s="226" t="str">
        <f>A$4</f>
        <v>Sohle 6A.1 RS</v>
      </c>
      <c r="G17" s="70">
        <f>G8</f>
        <v>0</v>
      </c>
      <c r="H17" s="121">
        <f t="shared" si="3"/>
        <v>0</v>
      </c>
      <c r="I17" s="121"/>
      <c r="J17" s="70"/>
    </row>
    <row r="18" spans="1:10">
      <c r="A18" s="72"/>
      <c r="B18" s="72" t="s">
        <v>98</v>
      </c>
      <c r="C18" s="73" t="s">
        <v>379</v>
      </c>
      <c r="D18" s="91">
        <f>6.65*$A$14*4.12/1000</f>
        <v>7.1234800000000001E-2</v>
      </c>
      <c r="E18" s="324">
        <f t="shared" si="2"/>
        <v>2.7397999999999999E-2</v>
      </c>
      <c r="F18" s="226" t="str">
        <f>A$4</f>
        <v>Sohle 6A.1 RS</v>
      </c>
      <c r="G18" s="70">
        <f>G9</f>
        <v>0</v>
      </c>
      <c r="H18" s="166">
        <f t="shared" si="3"/>
        <v>0</v>
      </c>
      <c r="I18" s="121"/>
      <c r="J18" s="70"/>
    </row>
    <row r="19" spans="1:10">
      <c r="A19" s="57"/>
      <c r="B19" s="58" t="s">
        <v>151</v>
      </c>
      <c r="C19" s="59"/>
      <c r="D19" s="92"/>
      <c r="E19" s="84"/>
      <c r="F19" s="227"/>
      <c r="G19" s="36"/>
      <c r="H19" s="123">
        <f>SUM(H13:H18)</f>
        <v>0</v>
      </c>
      <c r="I19" s="123">
        <f>'2.3 Vortriebsdauer So RST'!D10</f>
        <v>23.7</v>
      </c>
      <c r="J19" s="34">
        <f>H19*I19</f>
        <v>0</v>
      </c>
    </row>
    <row r="20" spans="1:10">
      <c r="A20" s="57"/>
      <c r="B20" s="58" t="s">
        <v>144</v>
      </c>
      <c r="C20" s="59"/>
      <c r="D20" s="92"/>
      <c r="E20" s="84"/>
      <c r="F20" s="227"/>
      <c r="G20" s="36"/>
      <c r="H20" s="123">
        <f>SUM(H13:H18)</f>
        <v>0</v>
      </c>
      <c r="I20" s="123">
        <f>'2.3 Vortriebsdauer So RST'!D15</f>
        <v>13.7</v>
      </c>
      <c r="J20" s="34">
        <f>H20*I20</f>
        <v>0</v>
      </c>
    </row>
    <row r="21" spans="1:10" ht="6.75" customHeight="1">
      <c r="A21" s="57"/>
      <c r="B21" s="58"/>
      <c r="C21" s="59"/>
      <c r="D21" s="92"/>
      <c r="E21" s="84"/>
      <c r="F21" s="227"/>
      <c r="G21" s="36"/>
      <c r="H21" s="123"/>
      <c r="I21" s="123"/>
      <c r="J21" s="34"/>
    </row>
    <row r="22" spans="1:10" ht="24">
      <c r="A22" s="161" t="s">
        <v>73</v>
      </c>
      <c r="B22" s="56" t="s">
        <v>275</v>
      </c>
      <c r="C22" s="73" t="s">
        <v>5</v>
      </c>
      <c r="D22" s="95">
        <f>1.88*$A$23*0.78</f>
        <v>2.9327999999999999</v>
      </c>
      <c r="E22" s="84">
        <f t="shared" ref="E22:E30" si="4">D22/$A$23</f>
        <v>1.4663999999999999</v>
      </c>
      <c r="F22" s="226"/>
      <c r="G22" s="195"/>
      <c r="H22" s="120">
        <f>ROUND(E22*G22,2)</f>
        <v>0</v>
      </c>
      <c r="I22" s="121"/>
      <c r="J22" s="70"/>
    </row>
    <row r="23" spans="1:10" ht="24">
      <c r="A23" s="162">
        <v>2</v>
      </c>
      <c r="B23" s="155" t="s">
        <v>276</v>
      </c>
      <c r="C23" s="59" t="s">
        <v>5</v>
      </c>
      <c r="D23" s="95">
        <f>1.88*$A$23*0.22</f>
        <v>0.82719999999999994</v>
      </c>
      <c r="E23" s="84">
        <f t="shared" si="4"/>
        <v>0.41359999999999997</v>
      </c>
      <c r="F23" s="226"/>
      <c r="G23" s="195"/>
      <c r="H23" s="121">
        <f t="shared" ref="H23:H30" si="5">ROUND(E23*G23,2)</f>
        <v>0</v>
      </c>
      <c r="I23" s="121"/>
      <c r="J23" s="70"/>
    </row>
    <row r="24" spans="1:10">
      <c r="A24" s="270"/>
      <c r="B24" s="61" t="str">
        <f>'1.0a Rüstzeiten'!A13</f>
        <v>Rüsten Rettungsstollen, Ausbruch Sohle, sprengen</v>
      </c>
      <c r="C24" s="60" t="s">
        <v>49</v>
      </c>
      <c r="D24" s="269">
        <v>0.78</v>
      </c>
      <c r="E24" s="85">
        <f t="shared" si="4"/>
        <v>0.39</v>
      </c>
      <c r="F24" s="228" t="s">
        <v>211</v>
      </c>
      <c r="G24" s="65">
        <f>ROUND('1.0a Rüstzeiten'!G13*'1.0 Allgemeines'!F$58/24,2)</f>
        <v>0</v>
      </c>
      <c r="H24" s="35">
        <f t="shared" si="5"/>
        <v>0</v>
      </c>
      <c r="I24" s="121"/>
      <c r="J24" s="70"/>
    </row>
    <row r="25" spans="1:10">
      <c r="A25" s="270"/>
      <c r="B25" s="72" t="str">
        <f>'1.0a Rüstzeiten'!A14</f>
        <v>Rüsten Rettungsstollen, Ausbruch Sohle, mechan. Lösen</v>
      </c>
      <c r="C25" s="73" t="s">
        <v>49</v>
      </c>
      <c r="D25" s="91">
        <v>0.22</v>
      </c>
      <c r="E25" s="83">
        <f t="shared" si="4"/>
        <v>0.11</v>
      </c>
      <c r="F25" s="226" t="s">
        <v>211</v>
      </c>
      <c r="G25" s="70">
        <f>ROUND('1.0a Rüstzeiten'!G14*'1.0 Allgemeines'!F$58/24,2)</f>
        <v>0</v>
      </c>
      <c r="H25" s="74">
        <f>ROUND(E25*G25,2)</f>
        <v>0</v>
      </c>
      <c r="I25" s="121"/>
      <c r="J25" s="70"/>
    </row>
    <row r="26" spans="1:10">
      <c r="A26" s="270"/>
      <c r="B26" s="72" t="str">
        <f>'1.0a Rüstzeiten'!A20</f>
        <v>Rüsten Rettungsstollen, Spritzbeton/Bewehrung Sohle</v>
      </c>
      <c r="C26" s="73" t="s">
        <v>49</v>
      </c>
      <c r="D26" s="91">
        <v>1</v>
      </c>
      <c r="E26" s="83">
        <f t="shared" si="4"/>
        <v>0.5</v>
      </c>
      <c r="F26" s="226" t="s">
        <v>211</v>
      </c>
      <c r="G26" s="70">
        <f>ROUND('1.0a Rüstzeiten'!G20*'1.0 Allgemeines'!F$58/24,2)</f>
        <v>0</v>
      </c>
      <c r="H26" s="74">
        <f t="shared" si="5"/>
        <v>0</v>
      </c>
      <c r="I26" s="121"/>
      <c r="J26" s="70"/>
    </row>
    <row r="27" spans="1:10">
      <c r="A27" s="270"/>
      <c r="B27" s="322" t="str">
        <f>'1.0a Rüstzeiten'!A24</f>
        <v>Rüsten Rettungsstollen, Ankern und Spießen  Kalotte/Strosse</v>
      </c>
      <c r="C27" s="106" t="s">
        <v>49</v>
      </c>
      <c r="D27" s="94">
        <v>1</v>
      </c>
      <c r="E27" s="99">
        <f t="shared" si="4"/>
        <v>0.5</v>
      </c>
      <c r="F27" s="265" t="s">
        <v>211</v>
      </c>
      <c r="G27" s="115">
        <f>ROUND('1.0a Rüstzeiten'!G24*'1.0 Allgemeines'!F$58/24,2)</f>
        <v>0</v>
      </c>
      <c r="H27" s="33">
        <f t="shared" si="5"/>
        <v>0</v>
      </c>
      <c r="I27" s="121"/>
      <c r="J27" s="70"/>
    </row>
    <row r="28" spans="1:10">
      <c r="A28" s="163"/>
      <c r="B28" s="72" t="s">
        <v>99</v>
      </c>
      <c r="C28" s="73" t="s">
        <v>6</v>
      </c>
      <c r="D28" s="91">
        <f>3.03*$A$23</f>
        <v>6.06</v>
      </c>
      <c r="E28" s="83">
        <f t="shared" si="4"/>
        <v>3.03</v>
      </c>
      <c r="F28" s="226"/>
      <c r="G28" s="195"/>
      <c r="H28" s="121">
        <f t="shared" si="5"/>
        <v>0</v>
      </c>
      <c r="I28" s="121"/>
      <c r="J28" s="70"/>
    </row>
    <row r="29" spans="1:10">
      <c r="A29" s="72"/>
      <c r="B29" s="72" t="s">
        <v>98</v>
      </c>
      <c r="C29" s="73" t="s">
        <v>379</v>
      </c>
      <c r="D29" s="91">
        <f>3.03*$A$23*4.12/1000</f>
        <v>2.4967199999999998E-2</v>
      </c>
      <c r="E29" s="324">
        <f t="shared" si="4"/>
        <v>1.2483599999999999E-2</v>
      </c>
      <c r="F29" s="226"/>
      <c r="G29" s="195"/>
      <c r="H29" s="121">
        <f t="shared" si="5"/>
        <v>0</v>
      </c>
      <c r="I29" s="121"/>
      <c r="J29" s="70"/>
    </row>
    <row r="30" spans="1:10">
      <c r="A30" s="72"/>
      <c r="B30" s="72" t="s">
        <v>140</v>
      </c>
      <c r="C30" s="73" t="s">
        <v>379</v>
      </c>
      <c r="D30" s="91">
        <f>3.03*$A$23*4.12/1000</f>
        <v>2.4967199999999998E-2</v>
      </c>
      <c r="E30" s="324">
        <f t="shared" si="4"/>
        <v>1.2483599999999999E-2</v>
      </c>
      <c r="F30" s="226"/>
      <c r="G30" s="195"/>
      <c r="H30" s="166">
        <f t="shared" si="5"/>
        <v>0</v>
      </c>
      <c r="I30" s="121"/>
      <c r="J30" s="70"/>
    </row>
    <row r="31" spans="1:10">
      <c r="A31" s="11"/>
      <c r="B31" s="58" t="s">
        <v>151</v>
      </c>
      <c r="C31" s="60"/>
      <c r="D31" s="95"/>
      <c r="E31" s="85"/>
      <c r="F31" s="228"/>
      <c r="G31" s="65"/>
      <c r="H31" s="120">
        <f>SUM(H22:H30)</f>
        <v>0</v>
      </c>
      <c r="I31" s="120">
        <f>'2.3 Vortriebsdauer So RST'!D6</f>
        <v>32.6</v>
      </c>
      <c r="J31" s="34">
        <f>H31*I31</f>
        <v>0</v>
      </c>
    </row>
    <row r="32" spans="1:10">
      <c r="A32" s="11"/>
      <c r="B32" s="58" t="s">
        <v>144</v>
      </c>
      <c r="C32" s="60"/>
      <c r="D32" s="95"/>
      <c r="E32" s="85"/>
      <c r="F32" s="228"/>
      <c r="G32" s="65"/>
      <c r="H32" s="120">
        <f>SUM(H22:H30)</f>
        <v>0</v>
      </c>
      <c r="I32" s="120">
        <f>'2.3 Vortriebsdauer So RST'!D16</f>
        <v>8</v>
      </c>
      <c r="J32" s="34">
        <f>H32*I32</f>
        <v>0</v>
      </c>
    </row>
    <row r="33" spans="1:10" ht="11.25" customHeight="1">
      <c r="A33" s="389" t="s">
        <v>74</v>
      </c>
      <c r="B33" s="390"/>
      <c r="C33" s="62"/>
      <c r="D33" s="130"/>
      <c r="E33" s="86"/>
      <c r="F33" s="86"/>
      <c r="G33" s="51"/>
      <c r="H33" s="51"/>
      <c r="I33" s="51"/>
      <c r="J33" s="52"/>
    </row>
    <row r="34" spans="1:10" ht="18" customHeight="1">
      <c r="A34" s="391"/>
      <c r="B34" s="392"/>
      <c r="C34" s="63"/>
      <c r="D34" s="131"/>
      <c r="E34" s="87"/>
      <c r="F34" s="87"/>
      <c r="G34" s="39"/>
      <c r="H34" s="39"/>
      <c r="I34" s="39"/>
      <c r="J34" s="98">
        <f>SUM(J4:J32)</f>
        <v>0</v>
      </c>
    </row>
    <row r="35" spans="1:10">
      <c r="F35" s="231"/>
    </row>
    <row r="36" spans="1:10" ht="75" customHeight="1">
      <c r="A36" s="393" t="s">
        <v>362</v>
      </c>
      <c r="B36" s="393"/>
      <c r="C36" s="393"/>
      <c r="D36" s="393"/>
      <c r="E36" s="393"/>
      <c r="F36" s="393"/>
      <c r="G36" s="393"/>
      <c r="H36" s="393"/>
      <c r="I36" s="393"/>
      <c r="J36" s="393"/>
    </row>
  </sheetData>
  <sheetProtection algorithmName="SHA-512" hashValue="Bp1sfOcqnAIILIfKht4Z9qAMRuwwuez1ZXtDCZ0WWaoJwWrOC4aukswPQ9RUeng9p8Ae7E9RH/yP+bsG1YIBJg==" saltValue="UNOlsQseqx7vXVoCEIX8dg==" spinCount="100000" sheet="1" objects="1" scenarios="1"/>
  <autoFilter ref="A3:J34" xr:uid="{EAABDB9C-E017-45BA-9166-BF6A2F157BFB}"/>
  <mergeCells count="4">
    <mergeCell ref="A2:E2"/>
    <mergeCell ref="G2:J2"/>
    <mergeCell ref="A33:B34"/>
    <mergeCell ref="A36:J36"/>
  </mergeCells>
  <conditionalFormatting sqref="A1:J2 A3:E3 A4:J4 B8:E8 A9:E9 A10:J13 B17:J17 A18:J23 A28:J38">
    <cfRule type="expression" dxfId="22" priority="1">
      <formula>CELL("Schutz",A1)=0</formula>
    </cfRule>
  </conditionalFormatting>
  <conditionalFormatting sqref="B5:H7">
    <cfRule type="expression" dxfId="21" priority="6">
      <formula>CELL("Schutz",B5)=0</formula>
    </cfRule>
  </conditionalFormatting>
  <conditionalFormatting sqref="B14:H16">
    <cfRule type="expression" dxfId="20" priority="5">
      <formula>CELL("Schutz",B14)=0</formula>
    </cfRule>
  </conditionalFormatting>
  <conditionalFormatting sqref="B24:H27">
    <cfRule type="expression" dxfId="19" priority="4">
      <formula>CELL("Schutz",B24)=0</formula>
    </cfRule>
  </conditionalFormatting>
  <conditionalFormatting sqref="F8:F9">
    <cfRule type="expression" dxfId="18" priority="8">
      <formula>CELL("Schutz",F8)=0</formula>
    </cfRule>
  </conditionalFormatting>
  <conditionalFormatting sqref="F3:H3">
    <cfRule type="expression" dxfId="17" priority="7">
      <formula>CELL("Schutz",F3)=0</formula>
    </cfRule>
  </conditionalFormatting>
  <conditionalFormatting sqref="I3:J3 A5:A7 I5:J7 G8:J9 A14:A16 I14:J16 A24:A27 I24:J27">
    <cfRule type="expression" dxfId="16" priority="13">
      <formula>CELL("Schutz",A3)=0</formula>
    </cfRule>
  </conditionalFormatting>
  <dataValidations count="1">
    <dataValidation type="custom" errorStyle="warning" allowBlank="1" showInputMessage="1" showErrorMessage="1" error="Nur zwei Nachkommastellen zulässig!" sqref="G4:G32" xr:uid="{4CF0262D-69D8-4A75-A17B-DFE766D0C056}">
      <formula1>MOD(G4*(10^2),1)&lt;(10^-10)</formula1>
    </dataValidation>
  </dataValidations>
  <pageMargins left="0.70866141732283472" right="0.70866141732283472" top="0.78740157480314965" bottom="0.78740157480314965" header="0.31496062992125984" footer="0.31496062992125984"/>
  <pageSetup paperSize="9" scale="72" fitToHeight="0" orientation="landscape" useFirstPageNumber="1" r:id="rId1"/>
  <headerFooter>
    <oddHeader>&amp;L&amp;"Arial,Fett"&amp;10Bieterangaben zeitgebundene Kosten Tunnel Kauerndorf
Unterlage 01.03-2.4 Ermittlung der Lohnstunden Sohle Rettungsstollen
&amp;R&amp;9...................................................
Bieter</oddHeader>
    <oddFooter>&amp;R&amp;9&amp;A
Blattseite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6736E-41E5-4B33-B4DB-D103566D842A}">
  <sheetPr>
    <tabColor theme="7" tint="-0.499984740745262"/>
  </sheetPr>
  <dimension ref="A2:C21"/>
  <sheetViews>
    <sheetView showGridLines="0" view="pageBreakPreview" topLeftCell="A9" zoomScaleNormal="80" zoomScaleSheetLayoutView="100" workbookViewId="0">
      <selection activeCell="A10" sqref="A9:F10"/>
    </sheetView>
  </sheetViews>
  <sheetFormatPr baseColWidth="10" defaultRowHeight="14.25"/>
  <cols>
    <col min="1" max="1" width="7.5" customWidth="1"/>
    <col min="2" max="2" width="64.5" customWidth="1"/>
    <col min="3" max="3" width="14" customWidth="1"/>
  </cols>
  <sheetData>
    <row r="2" spans="1:3">
      <c r="A2" s="18"/>
      <c r="B2" s="19"/>
      <c r="C2" s="404" t="s">
        <v>17</v>
      </c>
    </row>
    <row r="3" spans="1:3">
      <c r="A3" s="20"/>
      <c r="B3" s="21"/>
      <c r="C3" s="405"/>
    </row>
    <row r="4" spans="1:3" ht="41.25" customHeight="1">
      <c r="A4" s="15" t="s">
        <v>18</v>
      </c>
      <c r="B4" s="68" t="s">
        <v>241</v>
      </c>
      <c r="C4" s="17" t="e">
        <f>'2.1 Vortriebsdauer Ka_Str RST'!H8</f>
        <v>#DIV/0!</v>
      </c>
    </row>
    <row r="5" spans="1:3" ht="41.25" customHeight="1">
      <c r="A5" s="15" t="s">
        <v>19</v>
      </c>
      <c r="B5" s="16" t="s">
        <v>242</v>
      </c>
      <c r="C5" s="17" t="e">
        <f>'2.3 Vortriebsdauer So RST'!H8</f>
        <v>#DIV/0!</v>
      </c>
    </row>
    <row r="6" spans="1:3" ht="71.25">
      <c r="A6" s="15" t="s">
        <v>20</v>
      </c>
      <c r="B6" s="142" t="s">
        <v>385</v>
      </c>
      <c r="C6" s="271"/>
    </row>
    <row r="7" spans="1:3" ht="53.25" customHeight="1">
      <c r="A7" s="372" t="s">
        <v>332</v>
      </c>
      <c r="B7" s="373"/>
      <c r="C7" s="41" t="e">
        <f>SUM(C4:C6)</f>
        <v>#DIV/0!</v>
      </c>
    </row>
    <row r="9" spans="1:3">
      <c r="A9" s="18"/>
      <c r="B9" s="19"/>
      <c r="C9" s="404" t="s">
        <v>17</v>
      </c>
    </row>
    <row r="10" spans="1:3">
      <c r="A10" s="20"/>
      <c r="B10" s="21"/>
      <c r="C10" s="405"/>
    </row>
    <row r="11" spans="1:3" ht="41.25" customHeight="1">
      <c r="A11" s="15" t="s">
        <v>18</v>
      </c>
      <c r="B11" s="68" t="s">
        <v>237</v>
      </c>
      <c r="C11" s="17" t="e">
        <f>'2.1 Vortriebsdauer Ka_Str RST'!H12</f>
        <v>#DIV/0!</v>
      </c>
    </row>
    <row r="12" spans="1:3" ht="41.25" customHeight="1">
      <c r="A12" s="15" t="s">
        <v>19</v>
      </c>
      <c r="B12" s="16" t="s">
        <v>238</v>
      </c>
      <c r="C12" s="17" t="e">
        <f>'2.3 Vortriebsdauer So RST'!H12</f>
        <v>#DIV/0!</v>
      </c>
    </row>
    <row r="13" spans="1:3" ht="71.25">
      <c r="A13" s="15" t="s">
        <v>20</v>
      </c>
      <c r="B13" s="142" t="s">
        <v>386</v>
      </c>
      <c r="C13" s="271"/>
    </row>
    <row r="14" spans="1:3" ht="53.25" customHeight="1">
      <c r="A14" s="372" t="s">
        <v>333</v>
      </c>
      <c r="B14" s="412"/>
      <c r="C14" s="41" t="e">
        <f>SUM(C11:C13)</f>
        <v>#DIV/0!</v>
      </c>
    </row>
    <row r="16" spans="1:3">
      <c r="A16" s="18"/>
      <c r="B16" s="19"/>
      <c r="C16" s="404" t="s">
        <v>17</v>
      </c>
    </row>
    <row r="17" spans="1:3">
      <c r="A17" s="20"/>
      <c r="B17" s="21"/>
      <c r="C17" s="405"/>
    </row>
    <row r="18" spans="1:3" ht="41.25" customHeight="1">
      <c r="A18" s="15" t="s">
        <v>18</v>
      </c>
      <c r="B18" s="68" t="s">
        <v>239</v>
      </c>
      <c r="C18" s="17" t="e">
        <f>'2.1 Vortriebsdauer Ka_Str RST'!H18</f>
        <v>#DIV/0!</v>
      </c>
    </row>
    <row r="19" spans="1:3" ht="41.25" customHeight="1">
      <c r="A19" s="15" t="s">
        <v>19</v>
      </c>
      <c r="B19" s="16" t="s">
        <v>240</v>
      </c>
      <c r="C19" s="17" t="e">
        <f>'2.3 Vortriebsdauer So RST'!H18</f>
        <v>#DIV/0!</v>
      </c>
    </row>
    <row r="20" spans="1:3" ht="71.25">
      <c r="A20" s="15" t="s">
        <v>20</v>
      </c>
      <c r="B20" s="142" t="s">
        <v>387</v>
      </c>
      <c r="C20" s="271"/>
    </row>
    <row r="21" spans="1:3" ht="53.25" customHeight="1">
      <c r="A21" s="372" t="s">
        <v>334</v>
      </c>
      <c r="B21" s="412"/>
      <c r="C21" s="41" t="e">
        <f>SUM(C18:C20)</f>
        <v>#DIV/0!</v>
      </c>
    </row>
  </sheetData>
  <sheetProtection algorithmName="SHA-512" hashValue="WAbJto4PT2UKGGy5NVEV27lZYBdDXNj+E7na6iyxvrZjFYdqYBCDFgDkYxBRdk5aurikGULJndichrERAMatGw==" saltValue="WT85BZP7A4IIU4JF5XWfzQ==" spinCount="100000" sheet="1" objects="1" scenarios="1"/>
  <mergeCells count="6">
    <mergeCell ref="A21:B21"/>
    <mergeCell ref="C2:C3"/>
    <mergeCell ref="C9:C10"/>
    <mergeCell ref="C16:C17"/>
    <mergeCell ref="A7:B7"/>
    <mergeCell ref="A14:B14"/>
  </mergeCells>
  <phoneticPr fontId="11" type="noConversion"/>
  <conditionalFormatting sqref="A1:C6 A7 C7 A8:C13 A14 C14 A15:C20 A21 C21 A22:C24">
    <cfRule type="expression" dxfId="15" priority="1">
      <formula>CELL("Schutz",A1)=0</formula>
    </cfRule>
  </conditionalFormatting>
  <pageMargins left="0.70866141732283472" right="0.70866141732283472" top="0.78740157480314965" bottom="0.78740157480314965" header="0.31496062992125984" footer="0.31496062992125984"/>
  <pageSetup paperSize="9" scale="84" orientation="portrait" r:id="rId1"/>
  <headerFooter>
    <oddHeader>&amp;L&amp;"Arial,Fett"&amp;10Bieterangaben zeitgebundene Kosten Tunnel Kauerndorf
Unterlage 01.03-2.5 Ermittlung Vortriebsdauer Rettungsstollen
&amp;R&amp;9...................................................
Bieter</oddHeader>
    <oddFooter>&amp;R&amp;A
Blattseite &amp;P</oddFooter>
  </headerFooter>
  <ignoredErrors>
    <ignoredError sqref="A4:A6 A11:A13 A18:A20"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C97F3-02F7-4776-B18C-03E860AF6D8D}">
  <sheetPr>
    <tabColor theme="8" tint="0.39997558519241921"/>
  </sheetPr>
  <dimension ref="A2:I13"/>
  <sheetViews>
    <sheetView showGridLines="0" view="pageBreakPreview" zoomScale="91" zoomScaleNormal="85" zoomScaleSheetLayoutView="91" workbookViewId="0">
      <selection activeCell="A10" sqref="A10:F10"/>
    </sheetView>
  </sheetViews>
  <sheetFormatPr baseColWidth="10" defaultRowHeight="14.25"/>
  <cols>
    <col min="1" max="4" width="10.125" style="1" customWidth="1"/>
    <col min="5" max="8" width="19.5" style="28" customWidth="1"/>
    <col min="9" max="9" width="12.375" bestFit="1" customWidth="1"/>
  </cols>
  <sheetData>
    <row r="2" spans="1:9" s="5" customFormat="1" ht="28.35" customHeight="1">
      <c r="A2" s="380" t="s">
        <v>158</v>
      </c>
      <c r="B2" s="381"/>
      <c r="C2" s="381"/>
      <c r="D2" s="382"/>
      <c r="E2" s="378" t="s">
        <v>1</v>
      </c>
      <c r="F2" s="379"/>
      <c r="G2" s="48"/>
      <c r="H2" s="48" t="s">
        <v>2</v>
      </c>
      <c r="I2" s="127"/>
    </row>
    <row r="3" spans="1:9" s="4" customFormat="1" ht="86.25" customHeight="1">
      <c r="A3" s="47"/>
      <c r="B3" s="47" t="s">
        <v>27</v>
      </c>
      <c r="C3" s="47" t="s">
        <v>3</v>
      </c>
      <c r="D3" s="237" t="s">
        <v>291</v>
      </c>
      <c r="E3" s="48" t="s">
        <v>155</v>
      </c>
      <c r="F3" s="48" t="s">
        <v>157</v>
      </c>
      <c r="G3" s="141" t="s">
        <v>226</v>
      </c>
      <c r="H3" s="48" t="s">
        <v>156</v>
      </c>
      <c r="I3" s="93" t="s">
        <v>255</v>
      </c>
    </row>
    <row r="4" spans="1:9" s="3" customFormat="1" ht="28.35" customHeight="1">
      <c r="A4" s="213" t="s">
        <v>153</v>
      </c>
      <c r="B4" s="102"/>
      <c r="C4" s="102">
        <f>'3.2 Lohnstunden Str_So LB'!A5</f>
        <v>2</v>
      </c>
      <c r="D4" s="291">
        <v>54.8</v>
      </c>
      <c r="E4" s="104" t="e">
        <f>ROUND(F4/C4,2)</f>
        <v>#DIV/0!</v>
      </c>
      <c r="F4" s="104" t="e">
        <f>ROUND(G4/I4,2)</f>
        <v>#DIV/0!</v>
      </c>
      <c r="G4" s="172">
        <f>'1.0 Allgemeines'!F59</f>
        <v>0</v>
      </c>
      <c r="H4" s="172" t="e">
        <f>ROUND(D4/F4,2)</f>
        <v>#DIV/0!</v>
      </c>
      <c r="I4" s="212">
        <f>'3.2 Lohnstunden Str_So LB'!G15</f>
        <v>0</v>
      </c>
    </row>
    <row r="5" spans="1:9" s="3" customFormat="1" ht="9" customHeight="1">
      <c r="A5" s="155"/>
      <c r="B5" s="155"/>
      <c r="C5" s="155"/>
      <c r="D5" s="214"/>
      <c r="E5" s="82"/>
      <c r="F5" s="82"/>
      <c r="G5" s="82"/>
      <c r="H5" s="82"/>
      <c r="I5" s="215"/>
    </row>
    <row r="6" spans="1:9" s="4" customFormat="1" ht="28.35" customHeight="1">
      <c r="A6" s="410" t="s">
        <v>243</v>
      </c>
      <c r="B6" s="411"/>
      <c r="C6" s="411"/>
      <c r="D6" s="411"/>
      <c r="E6" s="411"/>
      <c r="F6" s="411"/>
      <c r="G6" s="216"/>
      <c r="H6" s="217"/>
      <c r="I6" s="165">
        <f>'3.2 Lohnstunden Str_So LB'!I18</f>
        <v>0</v>
      </c>
    </row>
    <row r="7" spans="1:9" s="4" customFormat="1" ht="28.35" customHeight="1">
      <c r="A7" s="413" t="s">
        <v>177</v>
      </c>
      <c r="B7" s="414"/>
      <c r="C7" s="414"/>
      <c r="D7" s="414"/>
      <c r="E7" s="414"/>
      <c r="F7" s="216"/>
      <c r="G7" s="216"/>
      <c r="H7" s="165" t="e">
        <f>SUM(H4:H4)</f>
        <v>#DIV/0!</v>
      </c>
      <c r="I7" s="334"/>
    </row>
    <row r="8" spans="1:9" s="3" customFormat="1" ht="28.35" customHeight="1">
      <c r="A8" s="209"/>
      <c r="B8" s="2"/>
      <c r="C8" s="2"/>
      <c r="D8" s="2"/>
      <c r="E8" s="27"/>
      <c r="F8" s="27"/>
      <c r="G8" s="27"/>
      <c r="H8" s="27"/>
    </row>
    <row r="9" spans="1:9" s="3" customFormat="1" ht="28.35" customHeight="1">
      <c r="A9" s="2"/>
      <c r="B9" s="2"/>
      <c r="C9" s="2"/>
      <c r="D9" s="119"/>
      <c r="E9" s="27"/>
      <c r="F9" s="27"/>
      <c r="G9" s="27"/>
      <c r="H9" s="27"/>
    </row>
    <row r="10" spans="1:9" s="3" customFormat="1" ht="20.25" customHeight="1">
      <c r="A10" s="2"/>
      <c r="B10" s="2"/>
      <c r="C10" s="2"/>
      <c r="D10" s="2"/>
      <c r="E10" s="27"/>
      <c r="F10" s="27"/>
      <c r="G10" s="27"/>
      <c r="H10" s="27"/>
    </row>
    <row r="11" spans="1:9" s="3" customFormat="1" ht="20.25" customHeight="1">
      <c r="A11" s="2"/>
      <c r="B11" s="2"/>
      <c r="C11" s="2"/>
      <c r="D11" s="2"/>
      <c r="E11" s="27"/>
      <c r="F11" s="27"/>
      <c r="G11" s="27"/>
      <c r="H11" s="27"/>
    </row>
    <row r="12" spans="1:9" s="3" customFormat="1" ht="20.25" customHeight="1">
      <c r="A12" s="2"/>
      <c r="B12" s="2"/>
      <c r="C12" s="2"/>
      <c r="D12" s="2"/>
      <c r="E12" s="27"/>
      <c r="F12" s="27"/>
      <c r="G12" s="27"/>
      <c r="H12" s="27"/>
    </row>
    <row r="13" spans="1:9" s="3" customFormat="1" ht="20.25" customHeight="1">
      <c r="A13" s="2"/>
      <c r="B13" s="2"/>
      <c r="C13" s="2"/>
      <c r="D13" s="2"/>
      <c r="E13" s="27"/>
      <c r="F13" s="27"/>
      <c r="G13" s="27"/>
      <c r="H13" s="27"/>
    </row>
  </sheetData>
  <sheetProtection algorithmName="SHA-512" hashValue="n/FHNg5zu/qUTlm+T7kC/8qrh0Pi5XwjWVvObtKmXaeHWZvAI/MROibNUcn7Yc0IkhgQJWigA9lAi55lqpYATQ==" saltValue="XugRoEQciE12HCgWXUgRDg==" spinCount="100000" sheet="1" objects="1" scenarios="1"/>
  <mergeCells count="4">
    <mergeCell ref="E2:F2"/>
    <mergeCell ref="A7:E7"/>
    <mergeCell ref="A2:D2"/>
    <mergeCell ref="A6:F6"/>
  </mergeCells>
  <conditionalFormatting sqref="A2">
    <cfRule type="expression" dxfId="14" priority="9">
      <formula>CELL("Schutz",A2)=0</formula>
    </cfRule>
  </conditionalFormatting>
  <conditionalFormatting sqref="A1:H1 A4:H5 A6 G6 I6 A7:H11">
    <cfRule type="expression" dxfId="13" priority="6">
      <formula>CELL("Schutz",A1)=0</formula>
    </cfRule>
  </conditionalFormatting>
  <conditionalFormatting sqref="A3:H3">
    <cfRule type="expression" dxfId="12" priority="1">
      <formula>CELL("Schutz",A3)=0</formula>
    </cfRule>
  </conditionalFormatting>
  <conditionalFormatting sqref="A2:I2 A3:C3 E3:I3">
    <cfRule type="expression" dxfId="11" priority="4">
      <formula>CELL("Schutz",A2)=0</formula>
    </cfRule>
  </conditionalFormatting>
  <conditionalFormatting sqref="E2 G2:H2">
    <cfRule type="expression" dxfId="10" priority="5">
      <formula>CELL("Schutz",E2)=0</formula>
    </cfRule>
  </conditionalFormatting>
  <conditionalFormatting sqref="G4">
    <cfRule type="expression" dxfId="9" priority="7">
      <formula>CELL("Schutz",G4)=0</formula>
    </cfRule>
  </conditionalFormatting>
  <conditionalFormatting sqref="I4">
    <cfRule type="expression" dxfId="8" priority="2">
      <formula>CELL("Schutz",I4)=0</formula>
    </cfRule>
    <cfRule type="expression" dxfId="7" priority="3">
      <formula>CELL("Schutz",I4)=0</formula>
    </cfRule>
  </conditionalFormatting>
  <pageMargins left="0.70866141732283472" right="0.70866141732283472" top="0.78740157480314965" bottom="0.78740157480314965" header="0.31496062992125984" footer="0.31496062992125984"/>
  <pageSetup paperSize="9" scale="89" orientation="landscape" useFirstPageNumber="1" r:id="rId1"/>
  <headerFooter>
    <oddHeader>&amp;L&amp;"Arial,Fett"&amp;10&amp;K000000Bieterangaben zeitgebundene Kosten Tunnel Kauerndorf
Unterlage 01.03-3.1 - Ermittlung der Vortriebsdauer Strosse, Sohle Luftbogenstrecke&amp;R&amp;9.....................................................
Bieter</oddHeader>
    <oddFooter>&amp;R&amp;A
Blattseite &amp;P</oddFooter>
    <firstFooter>&amp;R&amp;P</first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7F5C-663B-4E4E-BCD4-B5890408DB90}">
  <sheetPr>
    <tabColor theme="8" tint="0.39997558519241921"/>
    <pageSetUpPr fitToPage="1"/>
  </sheetPr>
  <dimension ref="A2:J21"/>
  <sheetViews>
    <sheetView showGridLines="0" view="pageBreakPreview" zoomScaleNormal="100" zoomScaleSheetLayoutView="100" workbookViewId="0">
      <selection activeCell="A10" sqref="A10:F10"/>
    </sheetView>
  </sheetViews>
  <sheetFormatPr baseColWidth="10" defaultColWidth="11.25" defaultRowHeight="14.25"/>
  <cols>
    <col min="1" max="1" width="17.625" customWidth="1"/>
    <col min="2" max="2" width="50.5" style="64" customWidth="1"/>
    <col min="3" max="3" width="7.75" style="64" customWidth="1"/>
    <col min="4" max="4" width="7.75" style="101" customWidth="1"/>
    <col min="5" max="5" width="9" style="88" customWidth="1"/>
    <col min="6" max="6" width="19.625" style="37" customWidth="1"/>
    <col min="7" max="7" width="12.625" style="37" customWidth="1"/>
    <col min="8" max="8" width="11.75" style="37" customWidth="1"/>
    <col min="9" max="9" width="12.375" style="38" customWidth="1"/>
    <col min="10" max="10" width="2" customWidth="1"/>
  </cols>
  <sheetData>
    <row r="2" spans="1:9">
      <c r="A2" s="383" t="s">
        <v>26</v>
      </c>
      <c r="B2" s="384"/>
      <c r="C2" s="384"/>
      <c r="D2" s="384"/>
      <c r="E2" s="385"/>
      <c r="F2" s="386" t="s">
        <v>0</v>
      </c>
      <c r="G2" s="387"/>
      <c r="H2" s="387"/>
      <c r="I2" s="388"/>
    </row>
    <row r="3" spans="1:9" ht="57">
      <c r="A3" s="10" t="s">
        <v>47</v>
      </c>
      <c r="B3" s="53" t="s">
        <v>8</v>
      </c>
      <c r="C3" s="53" t="s">
        <v>4</v>
      </c>
      <c r="D3" s="89" t="s">
        <v>44</v>
      </c>
      <c r="E3" s="81" t="s">
        <v>277</v>
      </c>
      <c r="F3" s="31" t="s">
        <v>361</v>
      </c>
      <c r="G3" s="31" t="s">
        <v>172</v>
      </c>
      <c r="H3" s="31" t="s">
        <v>16</v>
      </c>
      <c r="I3" s="31" t="s">
        <v>9</v>
      </c>
    </row>
    <row r="4" spans="1:9" ht="24">
      <c r="A4" s="6" t="s">
        <v>152</v>
      </c>
      <c r="B4" s="155" t="s">
        <v>278</v>
      </c>
      <c r="C4" s="80" t="s">
        <v>5</v>
      </c>
      <c r="D4" s="171">
        <f>47.78*$A$5*0.8</f>
        <v>76.448000000000008</v>
      </c>
      <c r="E4" s="82">
        <f t="shared" ref="E4:E14" si="0">D4/$A$5</f>
        <v>38.224000000000004</v>
      </c>
      <c r="F4" s="203"/>
      <c r="G4" s="164">
        <f>ROUND(E4*F4,2)</f>
        <v>0</v>
      </c>
      <c r="H4" s="320"/>
      <c r="I4" s="321"/>
    </row>
    <row r="5" spans="1:9" ht="24">
      <c r="A5" s="170">
        <v>2</v>
      </c>
      <c r="B5" s="155" t="s">
        <v>279</v>
      </c>
      <c r="C5" s="80" t="s">
        <v>5</v>
      </c>
      <c r="D5" s="171">
        <f>47.78*$A$5*0.2</f>
        <v>19.112000000000002</v>
      </c>
      <c r="E5" s="82">
        <f t="shared" si="0"/>
        <v>9.5560000000000009</v>
      </c>
      <c r="F5" s="202"/>
      <c r="G5" s="125">
        <f t="shared" ref="G5:G14" si="1">ROUND(E5*F5,2)</f>
        <v>0</v>
      </c>
      <c r="H5" s="167"/>
      <c r="I5" s="153"/>
    </row>
    <row r="6" spans="1:9">
      <c r="A6" s="170"/>
      <c r="B6" s="55" t="str">
        <f>'1.0a Rüstzeiten'!A9</f>
        <v>Rüsten Haupttunnel, Ausbruch Strosse/Sohle, sprengen</v>
      </c>
      <c r="C6" s="253" t="s">
        <v>49</v>
      </c>
      <c r="D6" s="254">
        <v>0.8</v>
      </c>
      <c r="E6" s="85">
        <f t="shared" si="0"/>
        <v>0.4</v>
      </c>
      <c r="F6" s="128">
        <f>ROUND('1.0a Rüstzeiten'!G9*'1.0 Allgemeines'!F$48/24,2)</f>
        <v>0</v>
      </c>
      <c r="G6" s="35">
        <f>ROUND(E6*F6,2)</f>
        <v>0</v>
      </c>
      <c r="H6" s="153"/>
      <c r="I6" s="66"/>
    </row>
    <row r="7" spans="1:9">
      <c r="A7" s="170"/>
      <c r="B7" s="56" t="str">
        <f>'1.0a Rüstzeiten'!A10</f>
        <v>Rüsten Haupttunnel, Ausbruch Strosse/Sohle, mechan. Lösen</v>
      </c>
      <c r="C7" s="102" t="s">
        <v>49</v>
      </c>
      <c r="D7" s="252">
        <v>0.2</v>
      </c>
      <c r="E7" s="83">
        <f t="shared" si="0"/>
        <v>0.1</v>
      </c>
      <c r="F7" s="30">
        <f>ROUND('1.0a Rüstzeiten'!G10*'1.0 Allgemeines'!F$48/24,2)</f>
        <v>0</v>
      </c>
      <c r="G7" s="74">
        <f>ROUND(E7*F7,2)</f>
        <v>0</v>
      </c>
      <c r="H7" s="153"/>
      <c r="I7" s="66"/>
    </row>
    <row r="8" spans="1:9">
      <c r="A8" s="170"/>
      <c r="B8" s="56" t="str">
        <f>'1.0a Rüstzeiten'!A18</f>
        <v>Rüsten Haupttunnel, Spritzbeton/Bewehrung Strosse/Sohle</v>
      </c>
      <c r="C8" s="102" t="s">
        <v>49</v>
      </c>
      <c r="D8" s="252">
        <v>1</v>
      </c>
      <c r="E8" s="83">
        <f t="shared" si="0"/>
        <v>0.5</v>
      </c>
      <c r="F8" s="30">
        <f>ROUND('1.0a Rüstzeiten'!G18*'1.0 Allgemeines'!F$48/24,2)</f>
        <v>0</v>
      </c>
      <c r="G8" s="74">
        <f>ROUND(E8*F8,2)</f>
        <v>0</v>
      </c>
      <c r="H8" s="153"/>
      <c r="I8" s="66"/>
    </row>
    <row r="9" spans="1:9">
      <c r="A9" s="170"/>
      <c r="B9" s="156" t="str">
        <f>'1.0a Rüstzeiten'!A23</f>
        <v>Rüsten Haupttunnel, Ankern und Spießen  Strosse/Sohle</v>
      </c>
      <c r="C9" s="255" t="s">
        <v>49</v>
      </c>
      <c r="D9" s="124">
        <v>1</v>
      </c>
      <c r="E9" s="99">
        <f t="shared" si="0"/>
        <v>0.5</v>
      </c>
      <c r="F9" s="260">
        <f>ROUND('1.0a Rüstzeiten'!G23*'1.0 Allgemeines'!F$48/24,2)</f>
        <v>0</v>
      </c>
      <c r="G9" s="33">
        <f>ROUND(E9*F9,2)</f>
        <v>0</v>
      </c>
      <c r="H9" s="153"/>
      <c r="I9" s="66"/>
    </row>
    <row r="10" spans="1:9">
      <c r="A10" s="66"/>
      <c r="B10" s="72" t="s">
        <v>64</v>
      </c>
      <c r="C10" s="73" t="s">
        <v>6</v>
      </c>
      <c r="D10" s="154">
        <f>17.12*$A$5</f>
        <v>34.24</v>
      </c>
      <c r="E10" s="103">
        <f t="shared" si="0"/>
        <v>17.12</v>
      </c>
      <c r="F10" s="196"/>
      <c r="G10" s="125">
        <f t="shared" si="1"/>
        <v>0</v>
      </c>
      <c r="H10" s="168"/>
      <c r="I10" s="153"/>
    </row>
    <row r="11" spans="1:9">
      <c r="A11" s="71"/>
      <c r="B11" s="72" t="s">
        <v>282</v>
      </c>
      <c r="C11" s="73" t="s">
        <v>379</v>
      </c>
      <c r="D11" s="154">
        <f>17.12*$A$5*5.38/1000</f>
        <v>0.18421120000000002</v>
      </c>
      <c r="E11" s="325">
        <f t="shared" si="0"/>
        <v>9.210560000000001E-2</v>
      </c>
      <c r="F11" s="196"/>
      <c r="G11" s="125">
        <f t="shared" si="1"/>
        <v>0</v>
      </c>
      <c r="H11" s="168"/>
      <c r="I11" s="153"/>
    </row>
    <row r="12" spans="1:9">
      <c r="A12" s="71"/>
      <c r="B12" s="72" t="s">
        <v>283</v>
      </c>
      <c r="C12" s="73" t="s">
        <v>379</v>
      </c>
      <c r="D12" s="154">
        <f>17.12*$A$5*5.38/1000</f>
        <v>0.18421120000000002</v>
      </c>
      <c r="E12" s="325">
        <f t="shared" si="0"/>
        <v>9.210560000000001E-2</v>
      </c>
      <c r="F12" s="196"/>
      <c r="G12" s="125">
        <f t="shared" si="1"/>
        <v>0</v>
      </c>
      <c r="H12" s="168"/>
      <c r="I12" s="153"/>
    </row>
    <row r="13" spans="1:9" s="64" customFormat="1">
      <c r="A13" s="72"/>
      <c r="B13" s="72" t="s">
        <v>225</v>
      </c>
      <c r="C13" s="73" t="s">
        <v>49</v>
      </c>
      <c r="D13" s="154">
        <f>6</f>
        <v>6</v>
      </c>
      <c r="E13" s="104">
        <f t="shared" si="0"/>
        <v>3</v>
      </c>
      <c r="F13" s="196"/>
      <c r="G13" s="125">
        <f t="shared" si="1"/>
        <v>0</v>
      </c>
      <c r="H13" s="121"/>
      <c r="I13" s="83"/>
    </row>
    <row r="14" spans="1:9" s="64" customFormat="1">
      <c r="A14" s="72"/>
      <c r="B14" s="72" t="s">
        <v>13</v>
      </c>
      <c r="C14" s="73" t="s">
        <v>6</v>
      </c>
      <c r="D14" s="154">
        <f>47.78</f>
        <v>47.78</v>
      </c>
      <c r="E14" s="105">
        <f t="shared" si="0"/>
        <v>23.89</v>
      </c>
      <c r="F14" s="196"/>
      <c r="G14" s="211">
        <f t="shared" si="1"/>
        <v>0</v>
      </c>
      <c r="H14" s="121"/>
      <c r="I14" s="83"/>
    </row>
    <row r="15" spans="1:9" s="64" customFormat="1">
      <c r="A15" s="57"/>
      <c r="B15" s="58" t="s">
        <v>12</v>
      </c>
      <c r="C15" s="59"/>
      <c r="D15" s="122"/>
      <c r="E15" s="84"/>
      <c r="F15" s="84"/>
      <c r="G15" s="123">
        <f>SUM(G4:G14)</f>
        <v>0</v>
      </c>
      <c r="H15" s="123">
        <f>'3.1 Vortriebsdauer Str_So LB'!D4</f>
        <v>54.8</v>
      </c>
      <c r="I15" s="123">
        <f>G15*H15</f>
        <v>0</v>
      </c>
    </row>
    <row r="16" spans="1:9" ht="6.75" customHeight="1">
      <c r="A16" s="12"/>
      <c r="B16" s="58"/>
      <c r="C16" s="59"/>
      <c r="D16" s="92"/>
      <c r="E16" s="84"/>
      <c r="F16" s="36"/>
      <c r="G16" s="34"/>
      <c r="H16" s="34"/>
      <c r="I16" s="34"/>
    </row>
    <row r="17" spans="1:10" ht="11.25" customHeight="1">
      <c r="A17" s="389" t="s">
        <v>154</v>
      </c>
      <c r="B17" s="390"/>
      <c r="C17" s="62"/>
      <c r="D17" s="130"/>
      <c r="E17" s="86"/>
      <c r="F17" s="51"/>
      <c r="G17" s="51"/>
      <c r="H17" s="51"/>
      <c r="I17" s="52"/>
    </row>
    <row r="18" spans="1:10" ht="18" customHeight="1">
      <c r="A18" s="391"/>
      <c r="B18" s="392"/>
      <c r="C18" s="63"/>
      <c r="D18" s="131"/>
      <c r="E18" s="87"/>
      <c r="F18" s="39"/>
      <c r="G18" s="39"/>
      <c r="H18" s="39"/>
      <c r="I18" s="98">
        <f>SUM(I4:I16)</f>
        <v>0</v>
      </c>
    </row>
    <row r="20" spans="1:10">
      <c r="F20" s="231"/>
      <c r="I20" s="37"/>
      <c r="J20" s="38"/>
    </row>
    <row r="21" spans="1:10" ht="72" customHeight="1">
      <c r="A21" s="371" t="s">
        <v>362</v>
      </c>
      <c r="B21" s="371"/>
      <c r="C21" s="371"/>
      <c r="D21" s="371"/>
      <c r="E21" s="371"/>
      <c r="F21" s="371"/>
      <c r="G21" s="371"/>
      <c r="H21" s="371"/>
      <c r="I21" s="371"/>
      <c r="J21" s="289"/>
    </row>
  </sheetData>
  <sheetProtection algorithmName="SHA-512" hashValue="/DtULpKbVza6gH+dV0KxsXkRDi7pwuXaa2A0KDxdxCcmUQFAut6T3L5reGw58znqOaDwaKV4eIRzUH7ChtY+XA==" saltValue="iJ/KiuapmwKZgT42xuZHQQ==" spinCount="100000" sheet="1" objects="1" scenarios="1"/>
  <autoFilter ref="A3:I15" xr:uid="{A83B7F5C-663B-4E4E-BCD4-B5890408DB90}"/>
  <mergeCells count="4">
    <mergeCell ref="A2:E2"/>
    <mergeCell ref="F2:I2"/>
    <mergeCell ref="A17:B18"/>
    <mergeCell ref="A21:I21"/>
  </mergeCells>
  <conditionalFormatting sqref="A1:I2 A3:E3 A4:I5 A10:I19 A20:J20 A21 J21 A22:I47">
    <cfRule type="expression" dxfId="6" priority="1">
      <formula>CELL("Schutz",A1)=0</formula>
    </cfRule>
  </conditionalFormatting>
  <conditionalFormatting sqref="F3:G3 B6:G9">
    <cfRule type="expression" dxfId="5" priority="7">
      <formula>CELL("Schutz",B3)=0</formula>
    </cfRule>
  </conditionalFormatting>
  <conditionalFormatting sqref="H3:I3 A6:A9 H6:H9">
    <cfRule type="expression" dxfId="4" priority="9">
      <formula>CELL("Schutz",A3)=0</formula>
    </cfRule>
  </conditionalFormatting>
  <dataValidations count="1">
    <dataValidation type="custom" errorStyle="warning" allowBlank="1" showInputMessage="1" showErrorMessage="1" error="Nur zwei Nachkommastellen zulässig!" sqref="F4:F16" xr:uid="{CADEE2A9-228B-4E3A-B17D-DA1A8F8AA2E3}">
      <formula1>MOD(F4*(10^2),1)&lt;(10^-10)</formula1>
    </dataValidation>
  </dataValidations>
  <pageMargins left="0.70866141732283472" right="0.70866141732283472" top="0.78740157480314965" bottom="0.78740157480314965" header="0.31496062992125984" footer="0.31496062992125984"/>
  <pageSetup paperSize="9" scale="81" fitToHeight="0" orientation="landscape" useFirstPageNumber="1" r:id="rId1"/>
  <headerFooter>
    <oddHeader>&amp;L&amp;"Arial,Fett"&amp;10&amp;K000000Bieterangaben zeitgebundene Kosten Tunnel Kauerndorf
Unterlage 01.03-3.2 Ermittlung der Lohnstunden Strosse, Sohle Luftbogenstrecke
&amp;R&amp;9...................................................
Bieter</oddHeader>
    <oddFooter>&amp;R&amp;9&amp;A
Blattseite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1A8C4-8809-4F60-A9FB-7B90E392018C}">
  <sheetPr>
    <tabColor theme="8" tint="-0.249977111117893"/>
  </sheetPr>
  <dimension ref="A2:C9"/>
  <sheetViews>
    <sheetView showGridLines="0" view="pageBreakPreview" zoomScaleNormal="100" zoomScaleSheetLayoutView="100" workbookViewId="0">
      <selection activeCell="A10" sqref="A10:F10"/>
    </sheetView>
  </sheetViews>
  <sheetFormatPr baseColWidth="10" defaultRowHeight="14.25"/>
  <cols>
    <col min="1" max="1" width="5" customWidth="1"/>
    <col min="2" max="2" width="70.875" customWidth="1"/>
    <col min="3" max="3" width="14" customWidth="1"/>
  </cols>
  <sheetData>
    <row r="2" spans="1:3">
      <c r="A2" s="173"/>
      <c r="B2" s="174"/>
      <c r="C2" s="415" t="s">
        <v>17</v>
      </c>
    </row>
    <row r="3" spans="1:3">
      <c r="A3" s="175"/>
      <c r="B3" s="176"/>
      <c r="C3" s="416"/>
    </row>
    <row r="4" spans="1:3" ht="70.5" customHeight="1">
      <c r="A4" s="177" t="s">
        <v>18</v>
      </c>
      <c r="B4" s="178" t="s">
        <v>244</v>
      </c>
      <c r="C4" s="179" t="e">
        <f>'3.1 Vortriebsdauer Str_So LB'!H7</f>
        <v>#DIV/0!</v>
      </c>
    </row>
    <row r="5" spans="1:3" ht="70.5" customHeight="1">
      <c r="A5" s="177" t="s">
        <v>19</v>
      </c>
      <c r="B5" s="326" t="s">
        <v>390</v>
      </c>
      <c r="C5" s="272"/>
    </row>
    <row r="6" spans="1:3" ht="70.5" customHeight="1">
      <c r="A6" s="406" t="s">
        <v>335</v>
      </c>
      <c r="B6" s="407"/>
      <c r="C6" s="180" t="e">
        <f>SUM(C4:C5)</f>
        <v>#DIV/0!</v>
      </c>
    </row>
    <row r="7" spans="1:3">
      <c r="A7" s="62"/>
      <c r="B7" s="64"/>
      <c r="C7" s="64"/>
    </row>
    <row r="8" spans="1:3">
      <c r="A8" s="331"/>
      <c r="B8" s="64"/>
      <c r="C8" s="64"/>
    </row>
    <row r="9" spans="1:3" s="169" customFormat="1" ht="54.75" customHeight="1">
      <c r="A9" s="417" t="s">
        <v>396</v>
      </c>
      <c r="B9" s="418"/>
      <c r="C9" s="419"/>
    </row>
  </sheetData>
  <sheetProtection algorithmName="SHA-512" hashValue="IrtGL/UKulCFPGri6+i+lelkDPUO63+hi/x+Szfw0EAVfokgfwCTLEO/Q7to7N5i9VgkzvLIF4pTHdOUfKH8tg==" saltValue="gTXLEeUwszCeHWYhmLkETw==" spinCount="100000" sheet="1" objects="1" scenarios="1"/>
  <mergeCells count="3">
    <mergeCell ref="C2:C3"/>
    <mergeCell ref="A9:C9"/>
    <mergeCell ref="A6:B6"/>
  </mergeCells>
  <phoneticPr fontId="11" type="noConversion"/>
  <conditionalFormatting sqref="A1:C5 A6 C6 A7:C8">
    <cfRule type="expression" dxfId="3" priority="1">
      <formula>CELL("Schutz",A1)=0</formula>
    </cfRule>
  </conditionalFormatting>
  <pageMargins left="0.70866141732283472" right="0.70866141732283472" top="0.78740157480314965" bottom="0.78740157480314965" header="0.31496062992125984" footer="0.31496062992125984"/>
  <pageSetup paperSize="9" scale="84" orientation="portrait" r:id="rId1"/>
  <headerFooter>
    <oddHeader>&amp;L&amp;"Arial,Fett"&amp;10&amp;K000000Bieterangaben zeitgebundene Kosten Tunnel Kauerndorf
Unterlage 01.03-3.3 Ermittlung Vortriebsdauer Luftbogenstrecke
&amp;R&amp;9...................................................
Bieter</oddHeader>
    <oddFooter>&amp;R&amp;A
Blattseite &amp;P</oddFooter>
  </headerFooter>
  <ignoredErrors>
    <ignoredError sqref="A4:A5"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31CED-F592-4A72-B32B-9E4FCB3B10D5}">
  <sheetPr>
    <tabColor theme="6" tint="-0.249977111117893"/>
  </sheetPr>
  <dimension ref="A2:D8"/>
  <sheetViews>
    <sheetView showGridLines="0" view="pageBreakPreview" zoomScale="91" zoomScaleNormal="100" zoomScaleSheetLayoutView="91" workbookViewId="0">
      <selection activeCell="A10" sqref="A10:F10"/>
    </sheetView>
  </sheetViews>
  <sheetFormatPr baseColWidth="10" defaultRowHeight="14.25"/>
  <cols>
    <col min="1" max="1" width="4.125" customWidth="1"/>
    <col min="2" max="2" width="58.75" customWidth="1"/>
    <col min="3" max="3" width="12.5" customWidth="1"/>
    <col min="4" max="4" width="12.625" customWidth="1"/>
  </cols>
  <sheetData>
    <row r="2" spans="1:4">
      <c r="A2" s="18"/>
      <c r="B2" s="19"/>
      <c r="C2" s="420" t="s">
        <v>249</v>
      </c>
      <c r="D2" s="404" t="s">
        <v>17</v>
      </c>
    </row>
    <row r="3" spans="1:4">
      <c r="A3" s="20"/>
      <c r="B3" s="21"/>
      <c r="C3" s="421"/>
      <c r="D3" s="405"/>
    </row>
    <row r="4" spans="1:4" ht="70.5" customHeight="1">
      <c r="A4" s="15" t="s">
        <v>18</v>
      </c>
      <c r="B4" s="303" t="s">
        <v>336</v>
      </c>
      <c r="C4" s="15" t="s">
        <v>246</v>
      </c>
      <c r="D4" s="17" t="e">
        <f>'1.6 Vortriebsdauer HR'!C7</f>
        <v>#DIV/0!</v>
      </c>
    </row>
    <row r="5" spans="1:4" ht="70.5" customHeight="1">
      <c r="A5" s="15" t="s">
        <v>19</v>
      </c>
      <c r="B5" s="302" t="s">
        <v>337</v>
      </c>
      <c r="C5" s="16" t="s">
        <v>247</v>
      </c>
      <c r="D5" s="17" t="e">
        <f>'3.3 Vortriebsdauer LB'!C6</f>
        <v>#DIV/0!</v>
      </c>
    </row>
    <row r="6" spans="1:4" ht="70.5" customHeight="1">
      <c r="A6" s="15" t="s">
        <v>20</v>
      </c>
      <c r="B6" s="302" t="s">
        <v>339</v>
      </c>
      <c r="C6" s="280" t="s">
        <v>248</v>
      </c>
      <c r="D6" s="17">
        <f>'5 Gesamtbetonierzeit'!C10</f>
        <v>0</v>
      </c>
    </row>
    <row r="7" spans="1:4" ht="69.95" customHeight="1">
      <c r="A7" s="372" t="s">
        <v>338</v>
      </c>
      <c r="B7" s="412"/>
      <c r="C7" s="40"/>
      <c r="D7" s="41" t="e">
        <f>SUM(D4:D6)</f>
        <v>#DIV/0!</v>
      </c>
    </row>
    <row r="8" spans="1:4">
      <c r="A8" s="304"/>
    </row>
  </sheetData>
  <sheetProtection algorithmName="SHA-512" hashValue="MWXeozDkXw9zetzyevTBqcCqoOAPTaex6lPqBoQVt8KxgoYNdkAPgWQfDhMtjzwkzYStSLUy2RWcFY4DKFU+ng==" saltValue="4sJSDBKiqUCWxxcWqKtNTg==" spinCount="100000" sheet="1" objects="1" scenarios="1"/>
  <mergeCells count="3">
    <mergeCell ref="C2:C3"/>
    <mergeCell ref="D2:D3"/>
    <mergeCell ref="A7:B7"/>
  </mergeCells>
  <phoneticPr fontId="11" type="noConversion"/>
  <conditionalFormatting sqref="A1:D6 A7 C7:D7 A8:D13">
    <cfRule type="expression" dxfId="2" priority="1">
      <formula>CELL("Schutz",A1)=0</formula>
    </cfRule>
  </conditionalFormatting>
  <pageMargins left="0.70866141732283472" right="0.70866141732283472" top="0.78740157480314965" bottom="0.78740157480314965" header="0.31496062992125984" footer="0.31496062992125984"/>
  <pageSetup paperSize="9" scale="84" orientation="portrait" r:id="rId1"/>
  <headerFooter>
    <oddHeader>&amp;L&amp;"Arial,Fett"&amp;10Bieterangaben zeitgebundene Kosten Tunnel Kauerndorf
Unterlage 01.03-4.1 Ermittlung der Teilbauzeit 2&amp;R&amp;9...................................................
Bieter</oddHeader>
    <oddFooter>&amp;R&amp;A
Blattseite &amp;P</oddFooter>
  </headerFooter>
  <ignoredErrors>
    <ignoredError sqref="A4:A6"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249977111117893"/>
  </sheetPr>
  <dimension ref="A2:C12"/>
  <sheetViews>
    <sheetView showGridLines="0" view="pageBreakPreview" zoomScaleNormal="100" zoomScaleSheetLayoutView="100" workbookViewId="0">
      <selection activeCell="C6" sqref="C6"/>
    </sheetView>
  </sheetViews>
  <sheetFormatPr baseColWidth="10" defaultRowHeight="14.25"/>
  <cols>
    <col min="1" max="1" width="33.5" customWidth="1"/>
    <col min="2" max="2" width="19" style="13" customWidth="1"/>
    <col min="3" max="3" width="15.75" style="13" customWidth="1"/>
  </cols>
  <sheetData>
    <row r="2" spans="1:3" ht="50.25" customHeight="1"/>
    <row r="4" spans="1:3" s="14" customFormat="1" ht="67.5" customHeight="1">
      <c r="A4" s="22" t="s">
        <v>21</v>
      </c>
      <c r="B4" s="24" t="s">
        <v>256</v>
      </c>
      <c r="C4" s="23" t="s">
        <v>169</v>
      </c>
    </row>
    <row r="5" spans="1:3" s="14" customFormat="1" ht="67.5" customHeight="1">
      <c r="A5" s="16" t="s">
        <v>23</v>
      </c>
      <c r="B5" s="16" t="s">
        <v>22</v>
      </c>
      <c r="C5" s="204"/>
    </row>
    <row r="6" spans="1:3" s="14" customFormat="1" ht="67.5" customHeight="1">
      <c r="A6" s="16" t="s">
        <v>102</v>
      </c>
      <c r="B6" s="16" t="s">
        <v>245</v>
      </c>
      <c r="C6" s="332" t="e">
        <f>'4.1 Teilbauzeit 2'!D7</f>
        <v>#DIV/0!</v>
      </c>
    </row>
    <row r="7" spans="1:3" s="14" customFormat="1" ht="67.5" customHeight="1" thickBot="1">
      <c r="A7" s="333" t="s">
        <v>24</v>
      </c>
      <c r="B7" s="333" t="s">
        <v>22</v>
      </c>
      <c r="C7" s="205"/>
    </row>
    <row r="8" spans="1:3" s="14" customFormat="1" ht="67.5" customHeight="1" thickTop="1">
      <c r="A8" s="42" t="s">
        <v>295</v>
      </c>
      <c r="B8" s="43"/>
      <c r="C8" s="44" t="e">
        <f>SUM(C5:C7)</f>
        <v>#DIV/0!</v>
      </c>
    </row>
    <row r="9" spans="1:3" s="14" customFormat="1" ht="30.75" customHeight="1">
      <c r="B9" s="1"/>
      <c r="C9" s="1"/>
    </row>
    <row r="10" spans="1:3" s="14" customFormat="1" ht="30.75" customHeight="1">
      <c r="B10" s="1"/>
      <c r="C10" s="1"/>
    </row>
    <row r="11" spans="1:3" s="14" customFormat="1" ht="30.75" customHeight="1">
      <c r="B11" s="1"/>
      <c r="C11" s="1"/>
    </row>
    <row r="12" spans="1:3" s="14" customFormat="1" ht="30.75" customHeight="1">
      <c r="B12" s="1"/>
      <c r="C12" s="1"/>
    </row>
  </sheetData>
  <sheetProtection algorithmName="SHA-512" hashValue="lMnJIxihUr1pf0aS0rKMysk6p4nwPjq7bJzJn1foFApl4hKUd2n6EAnMTtFqZ7HprD9vWiuJFDduN6VA91RVNg==" saltValue="PlyoaQbw/0JktdGXTnT9UQ==" spinCount="100000" sheet="1" objects="1" scenarios="1"/>
  <conditionalFormatting sqref="A1:D8">
    <cfRule type="expression" dxfId="1" priority="1">
      <formula>CELL("Schutz",A1)=0</formula>
    </cfRule>
  </conditionalFormatting>
  <dataValidations count="1">
    <dataValidation type="whole" errorStyle="warning" operator="greaterThanOrEqual" allowBlank="1" showInputMessage="1" showErrorMessage="1" error="Nur positive Ganzzahlen zulässig!" sqref="C7 C5" xr:uid="{3BA70A1E-91C6-4F5A-8D1B-5109FA9C96C6}">
      <formula1>0</formula1>
    </dataValidation>
  </dataValidations>
  <pageMargins left="0.70866141732283472" right="0.70866141732283472" top="0.78740157480314965" bottom="0.78740157480314965" header="0.31496062992125984" footer="0.31496062992125984"/>
  <pageSetup paperSize="9" orientation="portrait" r:id="rId1"/>
  <headerFooter>
    <oddHeader>&amp;L&amp;"Arial,Fett"&amp;10Bieterangaben zeitgebundene Kosten Tunnel Kauerndorf
Unterlage 01.03-4.2 Ermittlung der Gesamtbauzeit&amp;R&amp;9....................................................
Bieter</oddHeader>
    <oddFooter>&amp;R&amp;A
Blattseite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249977111117893"/>
  </sheetPr>
  <dimension ref="A2:C22"/>
  <sheetViews>
    <sheetView showGridLines="0" view="pageBreakPreview" zoomScaleNormal="100" zoomScaleSheetLayoutView="100" workbookViewId="0">
      <selection activeCell="A10" sqref="A10:F10"/>
    </sheetView>
  </sheetViews>
  <sheetFormatPr baseColWidth="10" defaultRowHeight="14.25"/>
  <cols>
    <col min="1" max="1" width="36.75" customWidth="1"/>
    <col min="2" max="2" width="20.75" customWidth="1"/>
    <col min="3" max="3" width="23.625" customWidth="1"/>
  </cols>
  <sheetData>
    <row r="2" spans="1:3" ht="29.25" customHeight="1">
      <c r="A2" s="18"/>
      <c r="B2" s="422"/>
      <c r="C2" s="423"/>
    </row>
    <row r="3" spans="1:3" s="14" customFormat="1" ht="45">
      <c r="A3" s="26"/>
      <c r="B3" s="24" t="s">
        <v>346</v>
      </c>
      <c r="C3" s="23" t="s">
        <v>168</v>
      </c>
    </row>
    <row r="4" spans="1:3" s="1" customFormat="1" ht="8.25" customHeight="1">
      <c r="A4" s="9"/>
      <c r="B4" s="25"/>
      <c r="C4" s="151"/>
    </row>
    <row r="5" spans="1:3" s="1" customFormat="1" ht="33.75" customHeight="1">
      <c r="A5" s="244" t="s">
        <v>345</v>
      </c>
      <c r="B5" s="218"/>
      <c r="C5" s="204"/>
    </row>
    <row r="6" spans="1:3" s="1" customFormat="1" ht="45" customHeight="1">
      <c r="A6" s="238" t="s">
        <v>217</v>
      </c>
      <c r="B6" s="221" t="e">
        <f>(626+54)/C6</f>
        <v>#DIV/0!</v>
      </c>
      <c r="C6" s="204"/>
    </row>
    <row r="7" spans="1:3" s="1" customFormat="1" ht="45" customHeight="1">
      <c r="A7" s="239" t="s">
        <v>218</v>
      </c>
      <c r="B7" s="222" t="e">
        <f>70/C7</f>
        <v>#DIV/0!</v>
      </c>
      <c r="C7" s="204"/>
    </row>
    <row r="8" spans="1:3" s="1" customFormat="1" ht="33.75" customHeight="1">
      <c r="A8" s="240" t="s">
        <v>70</v>
      </c>
      <c r="B8" s="218"/>
      <c r="C8" s="204"/>
    </row>
    <row r="9" spans="1:3" s="1" customFormat="1" ht="33.75" customHeight="1" thickBot="1">
      <c r="A9" s="241" t="s">
        <v>130</v>
      </c>
      <c r="B9" s="219"/>
      <c r="C9" s="205"/>
    </row>
    <row r="10" spans="1:3" s="1" customFormat="1" ht="96.75" customHeight="1" thickTop="1">
      <c r="A10" s="242" t="s">
        <v>340</v>
      </c>
      <c r="B10" s="220"/>
      <c r="C10" s="305">
        <f>SUM(C5:C9)</f>
        <v>0</v>
      </c>
    </row>
    <row r="11" spans="1:3" s="1" customFormat="1" ht="7.5" customHeight="1">
      <c r="A11" s="243"/>
      <c r="B11" s="25"/>
      <c r="C11" s="151"/>
    </row>
    <row r="12" spans="1:3" s="1" customFormat="1" ht="33.75" customHeight="1">
      <c r="A12" s="244" t="s">
        <v>344</v>
      </c>
      <c r="B12" s="218"/>
      <c r="C12" s="204"/>
    </row>
    <row r="13" spans="1:3" s="1" customFormat="1" ht="33.75" customHeight="1">
      <c r="A13" s="244" t="s">
        <v>216</v>
      </c>
      <c r="B13" s="221" t="e">
        <f>243.3/C13</f>
        <v>#DIV/0!</v>
      </c>
      <c r="C13" s="204"/>
    </row>
    <row r="14" spans="1:3" s="1" customFormat="1" ht="33.75" customHeight="1" thickBot="1">
      <c r="A14" s="245" t="s">
        <v>131</v>
      </c>
      <c r="B14" s="219"/>
      <c r="C14" s="205"/>
    </row>
    <row r="15" spans="1:3" s="1" customFormat="1" ht="60" customHeight="1" thickTop="1">
      <c r="A15" s="246" t="s">
        <v>341</v>
      </c>
      <c r="B15" s="220"/>
      <c r="C15" s="306">
        <f>SUM(C12:C14)</f>
        <v>0</v>
      </c>
    </row>
    <row r="16" spans="1:3" s="1" customFormat="1" ht="7.5" customHeight="1">
      <c r="A16" s="243"/>
      <c r="B16" s="25"/>
      <c r="C16" s="151"/>
    </row>
    <row r="17" spans="1:3" s="1" customFormat="1" ht="33.75" customHeight="1">
      <c r="A17" s="244" t="s">
        <v>343</v>
      </c>
      <c r="B17" s="218"/>
      <c r="C17" s="204"/>
    </row>
    <row r="18" spans="1:3" s="1" customFormat="1" ht="33.75" customHeight="1">
      <c r="A18" s="244" t="s">
        <v>215</v>
      </c>
      <c r="B18" s="221" t="e">
        <f>50.55/C18</f>
        <v>#DIV/0!</v>
      </c>
      <c r="C18" s="204"/>
    </row>
    <row r="19" spans="1:3" s="1" customFormat="1" ht="33.75" customHeight="1" thickBot="1">
      <c r="A19" s="245" t="s">
        <v>131</v>
      </c>
      <c r="B19" s="219"/>
      <c r="C19" s="205"/>
    </row>
    <row r="20" spans="1:3" s="1" customFormat="1" ht="64.5" customHeight="1" thickTop="1">
      <c r="A20" s="246" t="s">
        <v>342</v>
      </c>
      <c r="B20" s="220"/>
      <c r="C20" s="43">
        <f>SUM(C17:C19)</f>
        <v>0</v>
      </c>
    </row>
    <row r="21" spans="1:3" s="1" customFormat="1" ht="7.5" customHeight="1">
      <c r="A21" s="16"/>
      <c r="B21" s="16"/>
      <c r="C21" s="16"/>
    </row>
    <row r="22" spans="1:3" s="1" customFormat="1" ht="33.75" customHeight="1">
      <c r="A22" s="152" t="s">
        <v>127</v>
      </c>
      <c r="B22" s="218"/>
      <c r="C22" s="306">
        <f>C15+C20</f>
        <v>0</v>
      </c>
    </row>
  </sheetData>
  <sheetProtection algorithmName="SHA-512" hashValue="8qAGDu50IxnixAUf+RiFevhjlYUgU0H9bCUDSl261JJU1Sh9F12lozlsyE5sDWCvnr98/SDH5xYBIE9UswMYcw==" saltValue="HxQnpUQghZKm09EmcbM8Lw==" spinCount="100000" sheet="1" objects="1" scenarios="1"/>
  <mergeCells count="1">
    <mergeCell ref="B2:C2"/>
  </mergeCells>
  <conditionalFormatting sqref="A1:D23">
    <cfRule type="expression" dxfId="0" priority="1">
      <formula>CELL("Schutz",A1)=0</formula>
    </cfRule>
  </conditionalFormatting>
  <dataValidations count="1">
    <dataValidation type="whole" errorStyle="warning" operator="greaterThanOrEqual" allowBlank="1" showInputMessage="1" showErrorMessage="1" error="Nur positive Ganzzahlen zulässig!" sqref="C4:C22" xr:uid="{F5199378-92EC-49BE-BCD0-964BC24908FA}">
      <formula1>0</formula1>
    </dataValidation>
  </dataValidations>
  <pageMargins left="0.70866141732283472" right="0.70866141732283472" top="0.78740157480314965" bottom="0.78740157480314965" header="0.31496062992125984" footer="0.31496062992125984"/>
  <pageSetup paperSize="9" scale="91" orientation="portrait" r:id="rId1"/>
  <headerFooter>
    <oddHeader>&amp;L&amp;"Arial,Fett"&amp;10Bieterangaben zeitgebundene Kosten Tunnel Kauerndorf
Unterlage 01.03-5 Gesamtbetonierzeit&amp;R&amp;9....................................................
Bieter</oddHeader>
    <oddFooter>&amp;R&amp;A
Blattseite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D93F9-E556-4441-BC50-B0577A23D0E5}">
  <sheetPr>
    <tabColor theme="6"/>
  </sheetPr>
  <dimension ref="A1:H27"/>
  <sheetViews>
    <sheetView showGridLines="0" view="pageBreakPreview" zoomScale="60" zoomScaleNormal="100" workbookViewId="0">
      <selection activeCell="A10" sqref="A10:F10"/>
    </sheetView>
  </sheetViews>
  <sheetFormatPr baseColWidth="10" defaultRowHeight="14.25"/>
  <cols>
    <col min="1" max="1" width="20.75" style="13" customWidth="1"/>
    <col min="2" max="3" width="12.375" customWidth="1"/>
    <col min="4" max="4" width="14.25" customWidth="1"/>
    <col min="5" max="7" width="12.375" customWidth="1"/>
    <col min="8" max="8" width="17.75" customWidth="1"/>
  </cols>
  <sheetData>
    <row r="1" spans="1:8" ht="30">
      <c r="A1" s="248" t="s">
        <v>322</v>
      </c>
    </row>
    <row r="2" spans="1:8" ht="6.75" customHeight="1"/>
    <row r="3" spans="1:8" s="247" customFormat="1" ht="96" customHeight="1">
      <c r="A3" s="281" t="s">
        <v>374</v>
      </c>
      <c r="B3" s="247" t="s">
        <v>205</v>
      </c>
      <c r="C3" s="247" t="s">
        <v>207</v>
      </c>
      <c r="D3" s="247" t="s">
        <v>323</v>
      </c>
      <c r="E3" s="247" t="s">
        <v>206</v>
      </c>
      <c r="F3" s="247" t="s">
        <v>327</v>
      </c>
      <c r="G3" s="247" t="s">
        <v>203</v>
      </c>
      <c r="H3" s="247" t="s">
        <v>328</v>
      </c>
    </row>
    <row r="4" spans="1:8" s="247" customFormat="1" ht="15.75" customHeight="1">
      <c r="A4" s="372" t="s">
        <v>324</v>
      </c>
      <c r="B4" s="373"/>
      <c r="C4" s="373"/>
      <c r="D4" s="373"/>
      <c r="E4" s="373"/>
      <c r="F4" s="373"/>
      <c r="G4" s="373"/>
      <c r="H4" s="374"/>
    </row>
    <row r="5" spans="1:8" ht="42.75">
      <c r="A5" s="249" t="s">
        <v>187</v>
      </c>
      <c r="B5" s="256"/>
      <c r="C5" s="256"/>
      <c r="D5" s="257">
        <v>0.25</v>
      </c>
      <c r="E5" s="256"/>
      <c r="F5" s="256"/>
      <c r="G5" s="257">
        <f>SUM(B5:F5)</f>
        <v>0.25</v>
      </c>
      <c r="H5" s="250"/>
    </row>
    <row r="6" spans="1:8" ht="42.75">
      <c r="A6" s="249" t="s">
        <v>188</v>
      </c>
      <c r="B6" s="256"/>
      <c r="C6" s="256"/>
      <c r="D6" s="257">
        <v>0.25</v>
      </c>
      <c r="E6" s="256"/>
      <c r="F6" s="256"/>
      <c r="G6" s="257">
        <f t="shared" ref="G6:G24" si="0">SUM(B6:F6)</f>
        <v>0.25</v>
      </c>
      <c r="H6" s="250"/>
    </row>
    <row r="7" spans="1:8" ht="42.75">
      <c r="A7" s="249" t="s">
        <v>189</v>
      </c>
      <c r="B7" s="256"/>
      <c r="C7" s="256"/>
      <c r="D7" s="258" t="s">
        <v>204</v>
      </c>
      <c r="E7" s="256"/>
      <c r="F7" s="256"/>
      <c r="G7" s="257">
        <f t="shared" si="0"/>
        <v>0</v>
      </c>
      <c r="H7" s="250"/>
    </row>
    <row r="8" spans="1:8" ht="43.5" customHeight="1">
      <c r="A8" s="249" t="s">
        <v>190</v>
      </c>
      <c r="B8" s="256"/>
      <c r="C8" s="256"/>
      <c r="D8" s="258" t="s">
        <v>204</v>
      </c>
      <c r="E8" s="256"/>
      <c r="F8" s="256"/>
      <c r="G8" s="257">
        <f t="shared" si="0"/>
        <v>0</v>
      </c>
      <c r="H8" s="250"/>
    </row>
    <row r="9" spans="1:8" ht="43.5" customHeight="1">
      <c r="A9" s="249" t="s">
        <v>191</v>
      </c>
      <c r="B9" s="256"/>
      <c r="C9" s="256"/>
      <c r="D9" s="258">
        <v>0.15</v>
      </c>
      <c r="E9" s="256"/>
      <c r="F9" s="256"/>
      <c r="G9" s="257">
        <f t="shared" si="0"/>
        <v>0.15</v>
      </c>
      <c r="H9" s="250"/>
    </row>
    <row r="10" spans="1:8" ht="57">
      <c r="A10" s="249" t="s">
        <v>192</v>
      </c>
      <c r="B10" s="256"/>
      <c r="C10" s="256"/>
      <c r="D10" s="257">
        <v>0.15</v>
      </c>
      <c r="E10" s="256"/>
      <c r="F10" s="256"/>
      <c r="G10" s="257">
        <f t="shared" si="0"/>
        <v>0.15</v>
      </c>
      <c r="H10" s="250"/>
    </row>
    <row r="11" spans="1:8" s="13" customFormat="1" ht="57">
      <c r="A11" s="249" t="s">
        <v>193</v>
      </c>
      <c r="B11" s="261"/>
      <c r="C11" s="262" t="s">
        <v>204</v>
      </c>
      <c r="D11" s="262" t="s">
        <v>204</v>
      </c>
      <c r="E11" s="262" t="s">
        <v>204</v>
      </c>
      <c r="F11" s="256"/>
      <c r="G11" s="263">
        <f t="shared" si="0"/>
        <v>0</v>
      </c>
      <c r="H11" s="251"/>
    </row>
    <row r="12" spans="1:8" s="13" customFormat="1" ht="57">
      <c r="A12" s="249" t="s">
        <v>194</v>
      </c>
      <c r="B12" s="261"/>
      <c r="C12" s="262" t="s">
        <v>204</v>
      </c>
      <c r="D12" s="262" t="s">
        <v>204</v>
      </c>
      <c r="E12" s="262" t="s">
        <v>204</v>
      </c>
      <c r="F12" s="256"/>
      <c r="G12" s="263">
        <f t="shared" si="0"/>
        <v>0</v>
      </c>
      <c r="H12" s="251"/>
    </row>
    <row r="13" spans="1:8" s="13" customFormat="1" ht="42.75">
      <c r="A13" s="249" t="s">
        <v>195</v>
      </c>
      <c r="B13" s="261"/>
      <c r="C13" s="262" t="s">
        <v>204</v>
      </c>
      <c r="D13" s="262" t="s">
        <v>204</v>
      </c>
      <c r="E13" s="262" t="s">
        <v>204</v>
      </c>
      <c r="F13" s="256"/>
      <c r="G13" s="263">
        <v>0.7</v>
      </c>
      <c r="H13" s="251"/>
    </row>
    <row r="14" spans="1:8" s="13" customFormat="1" ht="42.75">
      <c r="A14" s="249" t="s">
        <v>196</v>
      </c>
      <c r="B14" s="261"/>
      <c r="C14" s="262" t="s">
        <v>204</v>
      </c>
      <c r="D14" s="262" t="s">
        <v>204</v>
      </c>
      <c r="E14" s="262" t="s">
        <v>204</v>
      </c>
      <c r="F14" s="256"/>
      <c r="G14" s="263">
        <v>0.7</v>
      </c>
      <c r="H14" s="251"/>
    </row>
    <row r="15" spans="1:8" ht="15.75" customHeight="1">
      <c r="A15" s="372" t="s">
        <v>325</v>
      </c>
      <c r="B15" s="373"/>
      <c r="C15" s="373"/>
      <c r="D15" s="373"/>
      <c r="E15" s="373"/>
      <c r="F15" s="373"/>
      <c r="G15" s="373"/>
      <c r="H15" s="374"/>
    </row>
    <row r="16" spans="1:8" ht="42.75">
      <c r="A16" s="249" t="s">
        <v>197</v>
      </c>
      <c r="B16" s="256"/>
      <c r="C16" s="258" t="s">
        <v>204</v>
      </c>
      <c r="D16" s="258" t="s">
        <v>204</v>
      </c>
      <c r="E16" s="258" t="s">
        <v>204</v>
      </c>
      <c r="F16" s="256"/>
      <c r="G16" s="257">
        <f t="shared" si="0"/>
        <v>0</v>
      </c>
      <c r="H16" s="250"/>
    </row>
    <row r="17" spans="1:8" ht="42.75">
      <c r="A17" s="249" t="s">
        <v>208</v>
      </c>
      <c r="B17" s="256"/>
      <c r="C17" s="258" t="s">
        <v>204</v>
      </c>
      <c r="D17" s="258" t="s">
        <v>204</v>
      </c>
      <c r="E17" s="258" t="s">
        <v>204</v>
      </c>
      <c r="F17" s="256"/>
      <c r="G17" s="257">
        <f>SUM(B17:F17)</f>
        <v>0</v>
      </c>
      <c r="H17" s="250"/>
    </row>
    <row r="18" spans="1:8" ht="42.75">
      <c r="A18" s="249" t="s">
        <v>198</v>
      </c>
      <c r="B18" s="256"/>
      <c r="C18" s="258" t="s">
        <v>204</v>
      </c>
      <c r="D18" s="258" t="s">
        <v>204</v>
      </c>
      <c r="E18" s="258" t="s">
        <v>204</v>
      </c>
      <c r="F18" s="256"/>
      <c r="G18" s="257">
        <f t="shared" si="0"/>
        <v>0</v>
      </c>
      <c r="H18" s="250"/>
    </row>
    <row r="19" spans="1:8" s="13" customFormat="1" ht="42.75">
      <c r="A19" s="249" t="s">
        <v>199</v>
      </c>
      <c r="B19" s="261"/>
      <c r="C19" s="262" t="s">
        <v>204</v>
      </c>
      <c r="D19" s="262" t="s">
        <v>204</v>
      </c>
      <c r="E19" s="262" t="s">
        <v>204</v>
      </c>
      <c r="F19" s="256"/>
      <c r="G19" s="263">
        <f t="shared" si="0"/>
        <v>0</v>
      </c>
      <c r="H19" s="251"/>
    </row>
    <row r="20" spans="1:8" s="13" customFormat="1" ht="42.75">
      <c r="A20" s="249" t="s">
        <v>200</v>
      </c>
      <c r="B20" s="261"/>
      <c r="C20" s="262" t="s">
        <v>204</v>
      </c>
      <c r="D20" s="262" t="s">
        <v>204</v>
      </c>
      <c r="E20" s="262" t="s">
        <v>204</v>
      </c>
      <c r="F20" s="256"/>
      <c r="G20" s="263">
        <f t="shared" si="0"/>
        <v>0</v>
      </c>
      <c r="H20" s="251"/>
    </row>
    <row r="21" spans="1:8" ht="16.5" customHeight="1">
      <c r="A21" s="372" t="s">
        <v>326</v>
      </c>
      <c r="B21" s="373"/>
      <c r="C21" s="373"/>
      <c r="D21" s="373"/>
      <c r="E21" s="373"/>
      <c r="F21" s="373"/>
      <c r="G21" s="373"/>
      <c r="H21" s="374"/>
    </row>
    <row r="22" spans="1:8" ht="57">
      <c r="A22" s="323" t="s">
        <v>388</v>
      </c>
      <c r="B22" s="256"/>
      <c r="C22" s="258" t="s">
        <v>204</v>
      </c>
      <c r="D22" s="258" t="s">
        <v>204</v>
      </c>
      <c r="E22" s="258" t="s">
        <v>204</v>
      </c>
      <c r="F22" s="256"/>
      <c r="G22" s="257">
        <f t="shared" si="0"/>
        <v>0</v>
      </c>
      <c r="H22" s="250"/>
    </row>
    <row r="23" spans="1:8" ht="42.75">
      <c r="A23" s="249" t="s">
        <v>201</v>
      </c>
      <c r="B23" s="256"/>
      <c r="C23" s="258" t="s">
        <v>204</v>
      </c>
      <c r="D23" s="258" t="s">
        <v>204</v>
      </c>
      <c r="E23" s="258" t="s">
        <v>204</v>
      </c>
      <c r="F23" s="256"/>
      <c r="G23" s="257">
        <f t="shared" si="0"/>
        <v>0</v>
      </c>
      <c r="H23" s="250"/>
    </row>
    <row r="24" spans="1:8" s="13" customFormat="1" ht="42.75">
      <c r="A24" s="249" t="s">
        <v>202</v>
      </c>
      <c r="B24" s="261"/>
      <c r="C24" s="262" t="s">
        <v>204</v>
      </c>
      <c r="D24" s="262" t="s">
        <v>204</v>
      </c>
      <c r="E24" s="262" t="s">
        <v>204</v>
      </c>
      <c r="F24" s="256"/>
      <c r="G24" s="263">
        <f t="shared" si="0"/>
        <v>0</v>
      </c>
      <c r="H24" s="251"/>
    </row>
    <row r="25" spans="1:8" ht="6" customHeight="1"/>
    <row r="26" spans="1:8" ht="6" customHeight="1"/>
    <row r="27" spans="1:8" ht="31.5" customHeight="1">
      <c r="A27" s="371" t="s">
        <v>268</v>
      </c>
      <c r="B27" s="371"/>
      <c r="C27" s="371"/>
      <c r="D27" s="371"/>
      <c r="E27" s="371"/>
      <c r="F27" s="371"/>
      <c r="G27" s="371"/>
      <c r="H27" s="371"/>
    </row>
  </sheetData>
  <sheetProtection algorithmName="SHA-512" hashValue="aCjaOnESzhHxoqlPKKvrVMz47pGCRA336UjmmKj5zwHc078E+dbTKmoDo+sABE2RQ8FVTUj6U4O2z6rZQBlCkQ==" saltValue="Sju7z/8+PsrIyCdKtM/5/Q==" spinCount="100000" sheet="1" objects="1" scenarios="1"/>
  <mergeCells count="4">
    <mergeCell ref="A27:H27"/>
    <mergeCell ref="A4:H4"/>
    <mergeCell ref="A15:H15"/>
    <mergeCell ref="A21:H21"/>
  </mergeCells>
  <conditionalFormatting sqref="A1">
    <cfRule type="expression" dxfId="78" priority="2">
      <formula>CELL("Schutz",A1)=0</formula>
    </cfRule>
  </conditionalFormatting>
  <conditionalFormatting sqref="A1:K3 A4 I4:K4 A5:K14 A15 I15:K15 A16:K20 A21 I21:K21 A22:K26 A27 I27:K27 A28:K51">
    <cfRule type="expression" dxfId="77" priority="1">
      <formula>CELL("Schutz",A1)=0</formula>
    </cfRule>
  </conditionalFormatting>
  <dataValidations count="1">
    <dataValidation type="custom" errorStyle="warning" allowBlank="1" showInputMessage="1" showErrorMessage="1" error="Nur zwei Nachkommastellen zulässig!" sqref="B5:G24" xr:uid="{1A73D8C9-8CDF-4227-9F9D-CB9EA2E6DA03}">
      <formula1>MOD(B5*(10^2),1)&lt;(10^-10)</formula1>
    </dataValidation>
  </dataValidations>
  <pageMargins left="0.7" right="0.7" top="0.78740157499999996" bottom="0.78740157499999996" header="0.3" footer="0.3"/>
  <pageSetup paperSize="9" scale="70" orientation="portrait" r:id="rId1"/>
  <headerFooter>
    <oddHeader>&amp;L&amp;"Arial,Fett"Bieterangaben zeitgebundene Kosten Tunnel Kauerndorf
Unterlage 01.03-1.0a - Allgemeines und Vertragstermine/Rüstarbeiten&amp;R.....................................................
Bieter</oddHeader>
    <oddFooter>&amp;R&amp;A
Blattseite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19789-1BBA-48EE-A2FB-CD03056CC1C2}">
  <sheetPr>
    <tabColor theme="9" tint="0.39997558519241921"/>
  </sheetPr>
  <dimension ref="A2:I21"/>
  <sheetViews>
    <sheetView showGridLines="0" view="pageBreakPreview" zoomScale="91" zoomScaleNormal="100" zoomScaleSheetLayoutView="91" workbookViewId="0">
      <selection activeCell="D6" sqref="D6"/>
    </sheetView>
  </sheetViews>
  <sheetFormatPr baseColWidth="10" defaultColWidth="11.25" defaultRowHeight="14.25"/>
  <cols>
    <col min="1" max="4" width="12.25" style="1" customWidth="1"/>
    <col min="5" max="9" width="17.125" style="28" customWidth="1"/>
  </cols>
  <sheetData>
    <row r="2" spans="1:9" s="5" customFormat="1" ht="21" customHeight="1">
      <c r="A2" s="380" t="s">
        <v>158</v>
      </c>
      <c r="B2" s="381"/>
      <c r="C2" s="381"/>
      <c r="D2" s="382"/>
      <c r="E2" s="378" t="s">
        <v>1</v>
      </c>
      <c r="F2" s="379"/>
      <c r="G2" s="48"/>
      <c r="H2" s="48" t="s">
        <v>2</v>
      </c>
      <c r="I2" s="127"/>
    </row>
    <row r="3" spans="1:9" s="4" customFormat="1" ht="59.25" customHeight="1">
      <c r="A3" s="47"/>
      <c r="B3" s="47" t="s">
        <v>27</v>
      </c>
      <c r="C3" s="47" t="s">
        <v>3</v>
      </c>
      <c r="D3" s="237" t="s">
        <v>329</v>
      </c>
      <c r="E3" s="48" t="s">
        <v>155</v>
      </c>
      <c r="F3" s="48" t="s">
        <v>157</v>
      </c>
      <c r="G3" s="141" t="s">
        <v>226</v>
      </c>
      <c r="H3" s="48" t="s">
        <v>156</v>
      </c>
      <c r="I3" s="93" t="s">
        <v>250</v>
      </c>
    </row>
    <row r="4" spans="1:9" s="3" customFormat="1" ht="21" customHeight="1">
      <c r="A4" s="6" t="s">
        <v>117</v>
      </c>
      <c r="B4" s="8"/>
      <c r="C4" s="8"/>
      <c r="D4" s="8"/>
      <c r="E4" s="128"/>
      <c r="F4" s="128"/>
      <c r="G4" s="128"/>
      <c r="H4" s="30"/>
      <c r="I4" s="30"/>
    </row>
    <row r="5" spans="1:9" s="3" customFormat="1" ht="33.75" customHeight="1">
      <c r="A5" s="49" t="s">
        <v>297</v>
      </c>
      <c r="B5" s="7" t="s">
        <v>35</v>
      </c>
      <c r="C5" s="50">
        <v>1.7</v>
      </c>
      <c r="D5" s="292">
        <v>89</v>
      </c>
      <c r="E5" s="29" t="e">
        <f>ROUND(F5/C5,2)</f>
        <v>#DIV/0!</v>
      </c>
      <c r="F5" s="29" t="e">
        <f>ROUND(G5/I5,2)</f>
        <v>#DIV/0!</v>
      </c>
      <c r="G5" s="207" cm="1">
        <f t="array" ref="G5">'1.0 Allgemeines'!F36:F36</f>
        <v>0</v>
      </c>
      <c r="H5" s="29" t="e">
        <f>ROUND(D5/F5,2)</f>
        <v>#DIV/0!</v>
      </c>
      <c r="I5" s="30">
        <f>'1.2 Lohnstunden Kalotte HR'!H17</f>
        <v>0</v>
      </c>
    </row>
    <row r="6" spans="1:9" s="3" customFormat="1" ht="33.75" customHeight="1">
      <c r="A6" s="49" t="s">
        <v>296</v>
      </c>
      <c r="B6" s="7" t="s">
        <v>36</v>
      </c>
      <c r="C6" s="50">
        <v>1.3</v>
      </c>
      <c r="D6" s="292">
        <f>188.5+27.1</f>
        <v>215.6</v>
      </c>
      <c r="E6" s="29" t="e">
        <f t="shared" ref="E6:E12" si="0">ROUND(F6/C6,2)</f>
        <v>#DIV/0!</v>
      </c>
      <c r="F6" s="29" t="e">
        <f t="shared" ref="F6:F13" si="1">ROUND(G6/I6,2)</f>
        <v>#DIV/0!</v>
      </c>
      <c r="G6" s="207" cm="1">
        <f t="array" ref="G6">'1.0 Allgemeines'!F37:F37</f>
        <v>0</v>
      </c>
      <c r="H6" s="29" t="e">
        <f t="shared" ref="H6:H13" si="2">ROUND(D6/F6,2)</f>
        <v>#DIV/0!</v>
      </c>
      <c r="I6" s="30">
        <f>'1.2 Lohnstunden Kalotte HR'!H32</f>
        <v>0</v>
      </c>
    </row>
    <row r="7" spans="1:9" s="3" customFormat="1" ht="33.75" customHeight="1">
      <c r="A7" s="49" t="s">
        <v>298</v>
      </c>
      <c r="B7" s="7" t="s">
        <v>36</v>
      </c>
      <c r="C7" s="50">
        <v>2.6</v>
      </c>
      <c r="D7" s="292">
        <f>27.1</f>
        <v>27.1</v>
      </c>
      <c r="E7" s="29" t="e">
        <f t="shared" si="0"/>
        <v>#DIV/0!</v>
      </c>
      <c r="F7" s="29" t="e">
        <f t="shared" si="1"/>
        <v>#DIV/0!</v>
      </c>
      <c r="G7" s="207" cm="1">
        <f t="array" ref="G7">'1.0 Allgemeines'!F38:F38</f>
        <v>0</v>
      </c>
      <c r="H7" s="29" t="e">
        <f t="shared" si="2"/>
        <v>#DIV/0!</v>
      </c>
      <c r="I7" s="30">
        <f>'1.2 Lohnstunden Kalotte HR'!H42</f>
        <v>0</v>
      </c>
    </row>
    <row r="8" spans="1:9" s="3" customFormat="1" ht="33.75" customHeight="1">
      <c r="A8" s="49" t="s">
        <v>299</v>
      </c>
      <c r="B8" s="7" t="s">
        <v>36</v>
      </c>
      <c r="C8" s="50">
        <v>1.3</v>
      </c>
      <c r="D8" s="292">
        <f>39+36+51.4</f>
        <v>126.4</v>
      </c>
      <c r="E8" s="29" t="e">
        <f t="shared" si="0"/>
        <v>#DIV/0!</v>
      </c>
      <c r="F8" s="29" t="e">
        <f t="shared" si="1"/>
        <v>#DIV/0!</v>
      </c>
      <c r="G8" s="207" cm="1">
        <f t="array" ref="G8">'1.0 Allgemeines'!F39:F39</f>
        <v>0</v>
      </c>
      <c r="H8" s="29" t="e">
        <f t="shared" si="2"/>
        <v>#DIV/0!</v>
      </c>
      <c r="I8" s="30">
        <f>'1.2 Lohnstunden Kalotte HR'!H64</f>
        <v>0</v>
      </c>
    </row>
    <row r="9" spans="1:9" s="3" customFormat="1" ht="33.75" customHeight="1">
      <c r="A9" s="49" t="s">
        <v>300</v>
      </c>
      <c r="B9" s="7" t="s">
        <v>36</v>
      </c>
      <c r="C9" s="50">
        <v>2.6</v>
      </c>
      <c r="D9" s="292">
        <f>51.4</f>
        <v>51.4</v>
      </c>
      <c r="E9" s="29" t="e">
        <f t="shared" si="0"/>
        <v>#DIV/0!</v>
      </c>
      <c r="F9" s="29" t="e">
        <f t="shared" si="1"/>
        <v>#DIV/0!</v>
      </c>
      <c r="G9" s="207" cm="1">
        <f t="array" ref="G9">'1.0 Allgemeines'!F40:F40</f>
        <v>0</v>
      </c>
      <c r="H9" s="29" t="e">
        <f t="shared" si="2"/>
        <v>#DIV/0!</v>
      </c>
      <c r="I9" s="30">
        <f>'1.2 Lohnstunden Kalotte HR'!H74</f>
        <v>0</v>
      </c>
    </row>
    <row r="10" spans="1:9" s="3" customFormat="1" ht="33.75" customHeight="1">
      <c r="A10" s="49" t="s">
        <v>301</v>
      </c>
      <c r="B10" s="7" t="s">
        <v>62</v>
      </c>
      <c r="C10" s="50">
        <v>1</v>
      </c>
      <c r="D10" s="292">
        <f>22.2+55.8</f>
        <v>78</v>
      </c>
      <c r="E10" s="29" t="e">
        <f t="shared" si="0"/>
        <v>#DIV/0!</v>
      </c>
      <c r="F10" s="29" t="e">
        <f t="shared" si="1"/>
        <v>#DIV/0!</v>
      </c>
      <c r="G10" s="207" cm="1">
        <f t="array" ref="G10">'1.0 Allgemeines'!F41:F41</f>
        <v>0</v>
      </c>
      <c r="H10" s="29" t="e">
        <f t="shared" si="2"/>
        <v>#DIV/0!</v>
      </c>
      <c r="I10" s="30">
        <f>'1.2 Lohnstunden Kalotte HR'!H95</f>
        <v>0</v>
      </c>
    </row>
    <row r="11" spans="1:9" s="3" customFormat="1" ht="33.75" customHeight="1">
      <c r="A11" s="49" t="s">
        <v>302</v>
      </c>
      <c r="B11" s="7" t="s">
        <v>62</v>
      </c>
      <c r="C11" s="50">
        <v>2</v>
      </c>
      <c r="D11" s="292">
        <f>55.8</f>
        <v>55.8</v>
      </c>
      <c r="E11" s="29" t="e">
        <f t="shared" si="0"/>
        <v>#DIV/0!</v>
      </c>
      <c r="F11" s="29" t="e">
        <f t="shared" si="1"/>
        <v>#DIV/0!</v>
      </c>
      <c r="G11" s="207" cm="1">
        <f t="array" ref="G11">'1.0 Allgemeines'!F42:F42</f>
        <v>0</v>
      </c>
      <c r="H11" s="29" t="e">
        <f t="shared" si="2"/>
        <v>#DIV/0!</v>
      </c>
      <c r="I11" s="30">
        <f>'1.2 Lohnstunden Kalotte HR'!H105</f>
        <v>0</v>
      </c>
    </row>
    <row r="12" spans="1:9" s="3" customFormat="1" ht="33.75" customHeight="1">
      <c r="A12" s="49" t="s">
        <v>303</v>
      </c>
      <c r="B12" s="7" t="s">
        <v>46</v>
      </c>
      <c r="C12" s="50">
        <v>1</v>
      </c>
      <c r="D12" s="292">
        <f>66.1+44.1</f>
        <v>110.19999999999999</v>
      </c>
      <c r="E12" s="29" t="e">
        <f t="shared" si="0"/>
        <v>#DIV/0!</v>
      </c>
      <c r="F12" s="29" t="e">
        <f t="shared" si="1"/>
        <v>#DIV/0!</v>
      </c>
      <c r="G12" s="207" cm="1">
        <f t="array" ref="G12">'1.0 Allgemeines'!F43:F43</f>
        <v>0</v>
      </c>
      <c r="H12" s="29" t="e">
        <f t="shared" si="2"/>
        <v>#DIV/0!</v>
      </c>
      <c r="I12" s="30">
        <f>'1.2 Lohnstunden Kalotte HR'!H128</f>
        <v>0</v>
      </c>
    </row>
    <row r="13" spans="1:9" s="3" customFormat="1" ht="33.75" customHeight="1">
      <c r="A13" s="49" t="s">
        <v>304</v>
      </c>
      <c r="B13" s="7" t="s">
        <v>46</v>
      </c>
      <c r="C13" s="50">
        <v>2</v>
      </c>
      <c r="D13" s="292">
        <f>66.1+44.1</f>
        <v>110.19999999999999</v>
      </c>
      <c r="E13" s="29" t="e">
        <f>ROUND(F13/C13,2)</f>
        <v>#DIV/0!</v>
      </c>
      <c r="F13" s="29" t="e">
        <f t="shared" si="1"/>
        <v>#DIV/0!</v>
      </c>
      <c r="G13" s="207" cm="1">
        <f t="array" ref="G13">'1.0 Allgemeines'!F44:F44</f>
        <v>0</v>
      </c>
      <c r="H13" s="29" t="e">
        <f t="shared" si="2"/>
        <v>#DIV/0!</v>
      </c>
      <c r="I13" s="30">
        <f>'1.2 Lohnstunden Kalotte HR'!H140</f>
        <v>0</v>
      </c>
    </row>
    <row r="14" spans="1:9" s="4" customFormat="1" ht="24.75" customHeight="1">
      <c r="A14" s="375" t="s">
        <v>305</v>
      </c>
      <c r="B14" s="376"/>
      <c r="C14" s="376"/>
      <c r="D14" s="376"/>
      <c r="E14" s="376"/>
      <c r="F14" s="376"/>
      <c r="G14" s="376"/>
      <c r="H14" s="377"/>
      <c r="I14" s="165">
        <f>'1.2 Lohnstunden Kalotte HR'!J142</f>
        <v>0</v>
      </c>
    </row>
    <row r="15" spans="1:9" s="4" customFormat="1" ht="38.25" customHeight="1">
      <c r="A15" s="206"/>
      <c r="B15" s="67"/>
      <c r="C15" s="67"/>
      <c r="D15" s="67"/>
      <c r="E15" s="67"/>
      <c r="F15" s="67"/>
      <c r="G15" s="141"/>
      <c r="H15" s="48"/>
      <c r="I15" s="93" t="s">
        <v>251</v>
      </c>
    </row>
    <row r="16" spans="1:9" s="3" customFormat="1" ht="24.75" customHeight="1">
      <c r="A16" s="375" t="s">
        <v>227</v>
      </c>
      <c r="B16" s="376"/>
      <c r="C16" s="376"/>
      <c r="D16" s="376"/>
      <c r="E16" s="376"/>
      <c r="F16" s="67"/>
      <c r="G16" s="207">
        <f>'1.0 Allgemeines'!F60</f>
        <v>0</v>
      </c>
      <c r="H16" s="29" t="e">
        <f>ROUND(I16/G16,2)</f>
        <v>#DIV/0!</v>
      </c>
      <c r="I16" s="46">
        <f>'1.3 Lohnstunden sonst. TL HR'!F17</f>
        <v>0</v>
      </c>
    </row>
    <row r="17" spans="1:9" s="4" customFormat="1" ht="24.75" customHeight="1">
      <c r="A17" s="375" t="s">
        <v>222</v>
      </c>
      <c r="B17" s="376"/>
      <c r="C17" s="376"/>
      <c r="D17" s="376"/>
      <c r="E17" s="376"/>
      <c r="F17" s="45"/>
      <c r="G17" s="45"/>
      <c r="H17" s="46" t="e">
        <f>SUM(H5:H16)</f>
        <v>#DIV/0!</v>
      </c>
      <c r="I17" s="46"/>
    </row>
    <row r="18" spans="1:9" s="3" customFormat="1" ht="20.25" customHeight="1">
      <c r="A18" s="317" t="s">
        <v>330</v>
      </c>
      <c r="B18" s="2"/>
      <c r="C18" s="2"/>
      <c r="D18" s="2"/>
      <c r="E18" s="27"/>
      <c r="F18" s="27"/>
      <c r="G18" s="27"/>
      <c r="H18" s="27"/>
      <c r="I18" s="27"/>
    </row>
    <row r="19" spans="1:9" s="3" customFormat="1" ht="20.25" customHeight="1">
      <c r="A19" s="2"/>
      <c r="B19" s="2"/>
      <c r="C19" s="2"/>
      <c r="D19" s="2"/>
      <c r="E19" s="27"/>
      <c r="F19" s="27"/>
      <c r="G19" s="27"/>
      <c r="H19" s="27"/>
      <c r="I19" s="27"/>
    </row>
    <row r="20" spans="1:9" s="3" customFormat="1" ht="20.25" customHeight="1">
      <c r="A20" s="2"/>
      <c r="B20" s="2"/>
      <c r="C20" s="2"/>
      <c r="D20" s="2"/>
      <c r="E20" s="27"/>
      <c r="F20" s="27"/>
      <c r="G20" s="27"/>
      <c r="H20" s="27"/>
      <c r="I20" s="27"/>
    </row>
    <row r="21" spans="1:9" s="3" customFormat="1" ht="20.25" customHeight="1">
      <c r="A21" s="2"/>
      <c r="B21" s="2"/>
      <c r="C21" s="2"/>
      <c r="D21" s="2"/>
      <c r="E21" s="27"/>
      <c r="F21" s="27"/>
      <c r="G21" s="27"/>
      <c r="H21" s="27"/>
      <c r="I21" s="27"/>
    </row>
  </sheetData>
  <sheetProtection algorithmName="SHA-512" hashValue="F2Xgw8eZBlpC/bFqsfAakb2ZSbVXGI7izTqI+2xYAQpimmxSH8rXAR0GCYN74EKoDFvr198aVjDHhuAIy5vH0Q==" saltValue="Kaf9ub/7OVRpRP/tIE2BXw==" spinCount="100000" sheet="1" objects="1" scenarios="1"/>
  <mergeCells count="5">
    <mergeCell ref="A17:E17"/>
    <mergeCell ref="A14:H14"/>
    <mergeCell ref="E2:F2"/>
    <mergeCell ref="A2:D2"/>
    <mergeCell ref="A16:E16"/>
  </mergeCells>
  <conditionalFormatting sqref="A2 E2 G2:I2">
    <cfRule type="expression" dxfId="76" priority="7">
      <formula>CELL("Schutz",A2)=0</formula>
    </cfRule>
  </conditionalFormatting>
  <conditionalFormatting sqref="A3:I17">
    <cfRule type="expression" dxfId="75" priority="1">
      <formula>CELL("Schutz",A3)=0</formula>
    </cfRule>
  </conditionalFormatting>
  <pageMargins left="0.70866141732283472" right="0.70866141732283472" top="0.78740157480314965" bottom="0.78740157480314965" header="0.31496062992125984" footer="0.31496062992125984"/>
  <pageSetup paperSize="9" scale="89" orientation="landscape" useFirstPageNumber="1" r:id="rId1"/>
  <headerFooter>
    <oddHeader>&amp;L&amp;"Arial,Fett"&amp;10Bieterangaben zeitgebundene Kosten Tunnel Kauerndorf
Unterlage 01.03-1.1 - Ermittlung der Vortriebsdauer Kalotte Hauptröhre&amp;R&amp;9.....................................................
Bieter</oddHeader>
    <oddFooter>&amp;R&amp;A
Blattseite &amp;P</oddFooter>
    <firstFooter>&amp;R&amp;P</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18A95-547A-4487-8C1B-39B674B23D7F}">
  <sheetPr>
    <tabColor theme="9" tint="0.39997558519241921"/>
    <pageSetUpPr fitToPage="1"/>
  </sheetPr>
  <dimension ref="A1:M144"/>
  <sheetViews>
    <sheetView showGridLines="0" view="pageBreakPreview" zoomScaleNormal="100" zoomScaleSheetLayoutView="100" workbookViewId="0"/>
  </sheetViews>
  <sheetFormatPr baseColWidth="10" defaultColWidth="11.25" defaultRowHeight="14.25"/>
  <cols>
    <col min="1" max="1" width="17.625" customWidth="1"/>
    <col min="2" max="2" width="47.75" style="64" customWidth="1"/>
    <col min="3" max="3" width="7.75" style="64" customWidth="1"/>
    <col min="4" max="4" width="9.25" style="101" customWidth="1"/>
    <col min="5" max="5" width="9" style="88" customWidth="1"/>
    <col min="6" max="6" width="19.25" style="231" customWidth="1"/>
    <col min="7" max="7" width="19.625" style="37" customWidth="1"/>
    <col min="8" max="8" width="12.625" style="37" customWidth="1"/>
    <col min="9" max="9" width="11.5" style="37" customWidth="1"/>
    <col min="10" max="10" width="12.375" style="38" customWidth="1"/>
    <col min="11" max="11" width="2" customWidth="1"/>
    <col min="12" max="16382" width="11.25" customWidth="1"/>
    <col min="16383" max="16383" width="12.25" bestFit="1" customWidth="1"/>
  </cols>
  <sheetData>
    <row r="1" spans="1:10">
      <c r="F1" s="88"/>
    </row>
    <row r="2" spans="1:10">
      <c r="A2" s="383" t="s">
        <v>26</v>
      </c>
      <c r="B2" s="384"/>
      <c r="C2" s="384"/>
      <c r="D2" s="384"/>
      <c r="E2" s="385"/>
      <c r="F2" s="224"/>
      <c r="G2" s="386" t="s">
        <v>0</v>
      </c>
      <c r="H2" s="387"/>
      <c r="I2" s="387"/>
      <c r="J2" s="388"/>
    </row>
    <row r="3" spans="1:10" ht="57">
      <c r="A3" s="10" t="s">
        <v>47</v>
      </c>
      <c r="B3" s="53" t="s">
        <v>8</v>
      </c>
      <c r="C3" s="53" t="s">
        <v>4</v>
      </c>
      <c r="D3" s="89" t="s">
        <v>44</v>
      </c>
      <c r="E3" s="81" t="s">
        <v>277</v>
      </c>
      <c r="F3" s="81" t="s">
        <v>210</v>
      </c>
      <c r="G3" s="31" t="s">
        <v>361</v>
      </c>
      <c r="H3" s="31" t="s">
        <v>172</v>
      </c>
      <c r="I3" s="31" t="s">
        <v>16</v>
      </c>
      <c r="J3" s="31" t="s">
        <v>9</v>
      </c>
    </row>
    <row r="4" spans="1:10" ht="24">
      <c r="A4" s="6" t="s">
        <v>29</v>
      </c>
      <c r="B4" s="155" t="s">
        <v>259</v>
      </c>
      <c r="C4" s="80" t="s">
        <v>5</v>
      </c>
      <c r="D4" s="90">
        <f>57.91*$A$5</f>
        <v>98.446999999999989</v>
      </c>
      <c r="E4" s="82">
        <f>D4/$A$5</f>
        <v>57.91</v>
      </c>
      <c r="F4" s="225"/>
      <c r="G4" s="194"/>
      <c r="H4" s="35">
        <f>ROUND(E4*G4,2)</f>
        <v>0</v>
      </c>
      <c r="I4" s="32"/>
      <c r="J4" s="65"/>
    </row>
    <row r="5" spans="1:10">
      <c r="A5" s="96">
        <f>'1.1 Vortriebsdauer Kalotte HR'!C5</f>
        <v>1.7</v>
      </c>
      <c r="B5" s="55" t="str">
        <f>'1.0a Rüstzeiten'!A5</f>
        <v>Rüsten Haupttunnel, Ausbruch Kalotte, sprengen</v>
      </c>
      <c r="C5" s="253" t="s">
        <v>49</v>
      </c>
      <c r="D5" s="254">
        <v>1</v>
      </c>
      <c r="E5" s="85">
        <f>D5/$A$5</f>
        <v>0.58823529411764708</v>
      </c>
      <c r="F5" s="225" t="s">
        <v>211</v>
      </c>
      <c r="G5" s="128">
        <f>ROUND('1.0a Rüstzeiten'!G5*'1.0 Allgemeines'!F$36/24,2)</f>
        <v>0</v>
      </c>
      <c r="H5" s="35">
        <f>ROUND(E5*G5,2)</f>
        <v>0</v>
      </c>
      <c r="I5" s="69"/>
      <c r="J5" s="70"/>
    </row>
    <row r="6" spans="1:10">
      <c r="A6" s="96"/>
      <c r="B6" s="56" t="str">
        <f>'1.0a Rüstzeiten'!A16</f>
        <v>Rüsten Haupttunnel, Spritzbeton/Bewehrung Kalotte</v>
      </c>
      <c r="C6" s="102" t="s">
        <v>49</v>
      </c>
      <c r="D6" s="252">
        <v>1</v>
      </c>
      <c r="E6" s="83">
        <f>D6/$A$5</f>
        <v>0.58823529411764708</v>
      </c>
      <c r="F6" s="233" t="s">
        <v>211</v>
      </c>
      <c r="G6" s="30">
        <f>ROUND('1.0a Rüstzeiten'!G16*'1.0 Allgemeines'!F$36/24,2)</f>
        <v>0</v>
      </c>
      <c r="H6" s="74">
        <f>ROUND(E6*G6,2)</f>
        <v>0</v>
      </c>
      <c r="I6" s="69"/>
      <c r="J6" s="70"/>
    </row>
    <row r="7" spans="1:10" ht="24">
      <c r="A7" s="107"/>
      <c r="B7" s="156" t="str">
        <f>'1.0a Rüstzeiten'!A22</f>
        <v>Rüsten Haupttunnel, Ankern und Spießen Kalotte
(ggf. inkl. Rohrschirm)</v>
      </c>
      <c r="C7" s="255" t="s">
        <v>49</v>
      </c>
      <c r="D7" s="124">
        <v>1</v>
      </c>
      <c r="E7" s="99">
        <f>D7/$A$5</f>
        <v>0.58823529411764708</v>
      </c>
      <c r="F7" s="259" t="s">
        <v>211</v>
      </c>
      <c r="G7" s="260">
        <f>ROUND('1.0a Rüstzeiten'!G22*'1.0 Allgemeines'!F$36/24,2)</f>
        <v>0</v>
      </c>
      <c r="H7" s="33">
        <f>ROUND(E7*G7,2)</f>
        <v>0</v>
      </c>
      <c r="I7" s="69"/>
      <c r="J7" s="70"/>
    </row>
    <row r="8" spans="1:10">
      <c r="A8" s="316"/>
      <c r="B8" s="72" t="s">
        <v>38</v>
      </c>
      <c r="C8" s="73" t="s">
        <v>49</v>
      </c>
      <c r="D8" s="91">
        <f>30/2</f>
        <v>15</v>
      </c>
      <c r="E8" s="83">
        <f t="shared" ref="E8:E16" si="0">D8/$A$5</f>
        <v>8.8235294117647065</v>
      </c>
      <c r="F8" s="226" t="s">
        <v>212</v>
      </c>
      <c r="G8" s="195"/>
      <c r="H8" s="74">
        <f t="shared" ref="H8:H16" si="1">ROUND(E8*G8,2)</f>
        <v>0</v>
      </c>
      <c r="I8" s="74"/>
      <c r="J8" s="70"/>
    </row>
    <row r="9" spans="1:10">
      <c r="A9" s="71"/>
      <c r="B9" s="72" t="s">
        <v>133</v>
      </c>
      <c r="C9" s="73" t="s">
        <v>49</v>
      </c>
      <c r="D9" s="91">
        <f>30/2</f>
        <v>15</v>
      </c>
      <c r="E9" s="83">
        <f t="shared" si="0"/>
        <v>8.8235294117647065</v>
      </c>
      <c r="F9" s="226" t="s">
        <v>212</v>
      </c>
      <c r="G9" s="195"/>
      <c r="H9" s="74">
        <f t="shared" si="1"/>
        <v>0</v>
      </c>
      <c r="I9" s="74"/>
      <c r="J9" s="70"/>
    </row>
    <row r="10" spans="1:10">
      <c r="A10" s="71"/>
      <c r="B10" s="72" t="s">
        <v>10</v>
      </c>
      <c r="C10" s="73" t="s">
        <v>6</v>
      </c>
      <c r="D10" s="91">
        <f>18.3*$A$5</f>
        <v>31.11</v>
      </c>
      <c r="E10" s="83">
        <f t="shared" si="0"/>
        <v>18.3</v>
      </c>
      <c r="F10" s="226" t="s">
        <v>212</v>
      </c>
      <c r="G10" s="195"/>
      <c r="H10" s="74">
        <f t="shared" si="1"/>
        <v>0</v>
      </c>
      <c r="I10" s="74"/>
      <c r="J10" s="70"/>
    </row>
    <row r="11" spans="1:10">
      <c r="A11" s="71"/>
      <c r="B11" s="72" t="s">
        <v>83</v>
      </c>
      <c r="C11" s="73" t="s">
        <v>379</v>
      </c>
      <c r="D11" s="91">
        <f>18.3*$A$5*4.12/1000</f>
        <v>0.12817320000000001</v>
      </c>
      <c r="E11" s="324">
        <f t="shared" si="0"/>
        <v>7.5396000000000005E-2</v>
      </c>
      <c r="F11" s="226" t="s">
        <v>212</v>
      </c>
      <c r="G11" s="195"/>
      <c r="H11" s="74">
        <f t="shared" si="1"/>
        <v>0</v>
      </c>
      <c r="I11" s="74"/>
      <c r="J11" s="70"/>
    </row>
    <row r="12" spans="1:10">
      <c r="A12" s="71"/>
      <c r="B12" s="72" t="s">
        <v>137</v>
      </c>
      <c r="C12" s="73" t="s">
        <v>379</v>
      </c>
      <c r="D12" s="91">
        <f>18.3*$A$5*4.12/1000</f>
        <v>0.12817320000000001</v>
      </c>
      <c r="E12" s="324">
        <f t="shared" si="0"/>
        <v>7.5396000000000005E-2</v>
      </c>
      <c r="F12" s="226" t="s">
        <v>212</v>
      </c>
      <c r="G12" s="195"/>
      <c r="H12" s="74">
        <f t="shared" si="1"/>
        <v>0</v>
      </c>
      <c r="I12" s="74"/>
      <c r="J12" s="70"/>
    </row>
    <row r="13" spans="1:10">
      <c r="A13" s="71"/>
      <c r="B13" s="72" t="s">
        <v>106</v>
      </c>
      <c r="C13" s="73" t="s">
        <v>7</v>
      </c>
      <c r="D13" s="91">
        <f>2*A5</f>
        <v>3.4</v>
      </c>
      <c r="E13" s="83">
        <f t="shared" si="0"/>
        <v>2</v>
      </c>
      <c r="F13" s="226" t="s">
        <v>212</v>
      </c>
      <c r="G13" s="195"/>
      <c r="H13" s="69">
        <f t="shared" si="1"/>
        <v>0</v>
      </c>
      <c r="I13" s="74"/>
      <c r="J13" s="70"/>
    </row>
    <row r="14" spans="1:10">
      <c r="A14" s="71"/>
      <c r="B14" s="72" t="s">
        <v>28</v>
      </c>
      <c r="C14" s="73" t="s">
        <v>379</v>
      </c>
      <c r="D14" s="91">
        <f>18.73*12.7/1000</f>
        <v>0.23787099999999997</v>
      </c>
      <c r="E14" s="324">
        <f t="shared" si="0"/>
        <v>0.13992411764705881</v>
      </c>
      <c r="F14" s="226" t="s">
        <v>212</v>
      </c>
      <c r="G14" s="195"/>
      <c r="H14" s="74">
        <f t="shared" si="1"/>
        <v>0</v>
      </c>
      <c r="I14" s="74"/>
      <c r="J14" s="70"/>
    </row>
    <row r="15" spans="1:10">
      <c r="A15" s="71"/>
      <c r="B15" s="72" t="s">
        <v>11</v>
      </c>
      <c r="C15" s="73" t="s">
        <v>49</v>
      </c>
      <c r="D15" s="91">
        <f>8.5</f>
        <v>8.5</v>
      </c>
      <c r="E15" s="83">
        <f t="shared" si="0"/>
        <v>5</v>
      </c>
      <c r="F15" s="226" t="s">
        <v>212</v>
      </c>
      <c r="G15" s="195"/>
      <c r="H15" s="74">
        <f t="shared" si="1"/>
        <v>0</v>
      </c>
      <c r="I15" s="74"/>
      <c r="J15" s="70"/>
    </row>
    <row r="16" spans="1:10">
      <c r="A16" s="71"/>
      <c r="B16" s="72" t="s">
        <v>13</v>
      </c>
      <c r="C16" s="73" t="s">
        <v>6</v>
      </c>
      <c r="D16" s="91">
        <f>57.91</f>
        <v>57.91</v>
      </c>
      <c r="E16" s="83">
        <f t="shared" si="0"/>
        <v>34.064705882352939</v>
      </c>
      <c r="F16" s="226" t="s">
        <v>212</v>
      </c>
      <c r="G16" s="195"/>
      <c r="H16" s="74">
        <f t="shared" si="1"/>
        <v>0</v>
      </c>
      <c r="I16" s="74"/>
      <c r="J16" s="70"/>
    </row>
    <row r="17" spans="1:10">
      <c r="A17" s="12"/>
      <c r="B17" s="58" t="s">
        <v>12</v>
      </c>
      <c r="C17" s="59"/>
      <c r="D17" s="92"/>
      <c r="E17" s="84"/>
      <c r="F17" s="227"/>
      <c r="G17" s="36"/>
      <c r="H17" s="34">
        <f>SUM(H4:H16)</f>
        <v>0</v>
      </c>
      <c r="I17" s="34">
        <f>'1.1 Vortriebsdauer Kalotte HR'!D5</f>
        <v>89</v>
      </c>
      <c r="J17" s="34">
        <f>H17*I17</f>
        <v>0</v>
      </c>
    </row>
    <row r="18" spans="1:10" ht="7.35" customHeight="1">
      <c r="A18" s="12"/>
      <c r="B18" s="58"/>
      <c r="C18" s="59"/>
      <c r="D18" s="92"/>
      <c r="E18" s="84"/>
      <c r="F18" s="227"/>
      <c r="G18" s="36"/>
      <c r="H18" s="34"/>
      <c r="I18" s="34"/>
      <c r="J18" s="34"/>
    </row>
    <row r="19" spans="1:10" ht="24">
      <c r="A19" s="78" t="s">
        <v>30</v>
      </c>
      <c r="B19" s="155" t="s">
        <v>68</v>
      </c>
      <c r="C19" s="80" t="s">
        <v>5</v>
      </c>
      <c r="D19" s="90">
        <f>57.91*$A$20</f>
        <v>75.283000000000001</v>
      </c>
      <c r="E19" s="82">
        <f>D19/$A$20</f>
        <v>57.91</v>
      </c>
      <c r="F19" s="225"/>
      <c r="G19" s="194"/>
      <c r="H19" s="35">
        <f>ROUND(E19*G19,2)</f>
        <v>0</v>
      </c>
      <c r="I19" s="35"/>
      <c r="J19" s="65"/>
    </row>
    <row r="20" spans="1:10">
      <c r="A20" s="96">
        <f>'1.1 Vortriebsdauer Kalotte HR'!C6</f>
        <v>1.3</v>
      </c>
      <c r="B20" s="55" t="str">
        <f>'1.0a Rüstzeiten'!A5</f>
        <v>Rüsten Haupttunnel, Ausbruch Kalotte, sprengen</v>
      </c>
      <c r="C20" s="253" t="s">
        <v>49</v>
      </c>
      <c r="D20" s="254">
        <v>1</v>
      </c>
      <c r="E20" s="85">
        <f>D20/$A$20</f>
        <v>0.76923076923076916</v>
      </c>
      <c r="F20" s="225" t="s">
        <v>211</v>
      </c>
      <c r="G20" s="128">
        <f>ROUND('1.0a Rüstzeiten'!G5*'1.0 Allgemeines'!F$37/24,2)</f>
        <v>0</v>
      </c>
      <c r="H20" s="35">
        <f>ROUND(E20*G20,2)</f>
        <v>0</v>
      </c>
      <c r="I20" s="74"/>
      <c r="J20" s="70"/>
    </row>
    <row r="21" spans="1:10">
      <c r="A21" s="96"/>
      <c r="B21" s="56" t="str">
        <f>'1.0a Rüstzeiten'!A16</f>
        <v>Rüsten Haupttunnel, Spritzbeton/Bewehrung Kalotte</v>
      </c>
      <c r="C21" s="102" t="s">
        <v>49</v>
      </c>
      <c r="D21" s="252">
        <v>1</v>
      </c>
      <c r="E21" s="83">
        <f>D21/$A$20</f>
        <v>0.76923076923076916</v>
      </c>
      <c r="F21" s="233" t="s">
        <v>211</v>
      </c>
      <c r="G21" s="30">
        <f>ROUND('1.0a Rüstzeiten'!G16*'1.0 Allgemeines'!F$37/24,2)</f>
        <v>0</v>
      </c>
      <c r="H21" s="74">
        <f>ROUND(E21*G21,2)</f>
        <v>0</v>
      </c>
      <c r="I21" s="74"/>
      <c r="J21" s="70"/>
    </row>
    <row r="22" spans="1:10" ht="24">
      <c r="A22" s="79"/>
      <c r="B22" s="156" t="str">
        <f>'1.0a Rüstzeiten'!A22</f>
        <v>Rüsten Haupttunnel, Ankern und Spießen Kalotte
(ggf. inkl. Rohrschirm)</v>
      </c>
      <c r="C22" s="255" t="s">
        <v>49</v>
      </c>
      <c r="D22" s="124">
        <v>1</v>
      </c>
      <c r="E22" s="99">
        <f>D22/$A$20</f>
        <v>0.76923076923076916</v>
      </c>
      <c r="F22" s="259" t="s">
        <v>211</v>
      </c>
      <c r="G22" s="260">
        <f>ROUND('1.0a Rüstzeiten'!G22*'1.0 Allgemeines'!F$37/24,2)</f>
        <v>0</v>
      </c>
      <c r="H22" s="33">
        <f>ROUND(E22*G22,2)</f>
        <v>0</v>
      </c>
      <c r="I22" s="74"/>
      <c r="J22" s="70"/>
    </row>
    <row r="23" spans="1:10">
      <c r="A23" s="316"/>
      <c r="B23" s="72" t="s">
        <v>38</v>
      </c>
      <c r="C23" s="73" t="s">
        <v>49</v>
      </c>
      <c r="D23" s="91">
        <f>30/2</f>
        <v>15</v>
      </c>
      <c r="E23" s="83">
        <f t="shared" ref="E23:E31" si="2">D23/$A$20</f>
        <v>11.538461538461538</v>
      </c>
      <c r="F23" s="226" t="str">
        <f t="shared" ref="F23:F31" si="3">"von "&amp;A$4</f>
        <v>von Kalotte 6A.1 HR</v>
      </c>
      <c r="G23" s="30">
        <f t="shared" ref="G23:G31" si="4">G8</f>
        <v>0</v>
      </c>
      <c r="H23" s="74">
        <f t="shared" ref="H23:H31" si="5">ROUND(E23*G23,2)</f>
        <v>0</v>
      </c>
      <c r="I23" s="74"/>
      <c r="J23" s="70"/>
    </row>
    <row r="24" spans="1:10">
      <c r="A24" s="71"/>
      <c r="B24" s="72" t="s">
        <v>133</v>
      </c>
      <c r="C24" s="73" t="s">
        <v>49</v>
      </c>
      <c r="D24" s="91">
        <f>30/2</f>
        <v>15</v>
      </c>
      <c r="E24" s="83">
        <f t="shared" si="2"/>
        <v>11.538461538461538</v>
      </c>
      <c r="F24" s="226" t="str">
        <f t="shared" si="3"/>
        <v>von Kalotte 6A.1 HR</v>
      </c>
      <c r="G24" s="30">
        <f t="shared" si="4"/>
        <v>0</v>
      </c>
      <c r="H24" s="74">
        <f t="shared" si="5"/>
        <v>0</v>
      </c>
      <c r="I24" s="74"/>
      <c r="J24" s="70"/>
    </row>
    <row r="25" spans="1:10">
      <c r="A25" s="66"/>
      <c r="B25" s="72" t="s">
        <v>10</v>
      </c>
      <c r="C25" s="73" t="s">
        <v>6</v>
      </c>
      <c r="D25" s="91">
        <f>18.3*$A$20</f>
        <v>23.790000000000003</v>
      </c>
      <c r="E25" s="83">
        <f t="shared" si="2"/>
        <v>18.3</v>
      </c>
      <c r="F25" s="226" t="str">
        <f t="shared" si="3"/>
        <v>von Kalotte 6A.1 HR</v>
      </c>
      <c r="G25" s="30">
        <f t="shared" si="4"/>
        <v>0</v>
      </c>
      <c r="H25" s="74">
        <f t="shared" si="5"/>
        <v>0</v>
      </c>
      <c r="I25" s="74"/>
      <c r="J25" s="70"/>
    </row>
    <row r="26" spans="1:10">
      <c r="A26" s="71"/>
      <c r="B26" s="72" t="s">
        <v>83</v>
      </c>
      <c r="C26" s="73" t="s">
        <v>379</v>
      </c>
      <c r="D26" s="91">
        <f>18.3*$A$20*4.12/1000</f>
        <v>9.8014800000000013E-2</v>
      </c>
      <c r="E26" s="324">
        <f t="shared" si="2"/>
        <v>7.5396000000000005E-2</v>
      </c>
      <c r="F26" s="226" t="str">
        <f t="shared" si="3"/>
        <v>von Kalotte 6A.1 HR</v>
      </c>
      <c r="G26" s="30">
        <f t="shared" si="4"/>
        <v>0</v>
      </c>
      <c r="H26" s="74">
        <f t="shared" si="5"/>
        <v>0</v>
      </c>
      <c r="I26" s="74"/>
      <c r="J26" s="70"/>
    </row>
    <row r="27" spans="1:10">
      <c r="A27" s="71"/>
      <c r="B27" s="72" t="s">
        <v>137</v>
      </c>
      <c r="C27" s="73" t="s">
        <v>379</v>
      </c>
      <c r="D27" s="91">
        <f>18.3*$A$20*4.12/1000</f>
        <v>9.8014800000000013E-2</v>
      </c>
      <c r="E27" s="324">
        <f t="shared" si="2"/>
        <v>7.5396000000000005E-2</v>
      </c>
      <c r="F27" s="226" t="str">
        <f t="shared" si="3"/>
        <v>von Kalotte 6A.1 HR</v>
      </c>
      <c r="G27" s="30">
        <f t="shared" si="4"/>
        <v>0</v>
      </c>
      <c r="H27" s="74">
        <f t="shared" si="5"/>
        <v>0</v>
      </c>
      <c r="I27" s="74"/>
      <c r="J27" s="70"/>
    </row>
    <row r="28" spans="1:10">
      <c r="A28" s="71"/>
      <c r="B28" s="72" t="s">
        <v>106</v>
      </c>
      <c r="C28" s="73" t="s">
        <v>7</v>
      </c>
      <c r="D28" s="91">
        <f>2*A20</f>
        <v>2.6</v>
      </c>
      <c r="E28" s="83">
        <f t="shared" si="2"/>
        <v>2</v>
      </c>
      <c r="F28" s="226" t="str">
        <f t="shared" si="3"/>
        <v>von Kalotte 6A.1 HR</v>
      </c>
      <c r="G28" s="30">
        <f t="shared" si="4"/>
        <v>0</v>
      </c>
      <c r="H28" s="69">
        <f t="shared" si="5"/>
        <v>0</v>
      </c>
      <c r="I28" s="74"/>
      <c r="J28" s="70"/>
    </row>
    <row r="29" spans="1:10">
      <c r="A29" s="66"/>
      <c r="B29" s="72" t="s">
        <v>28</v>
      </c>
      <c r="C29" s="73" t="s">
        <v>379</v>
      </c>
      <c r="D29" s="91">
        <f>18.73*12.7/1000</f>
        <v>0.23787099999999997</v>
      </c>
      <c r="E29" s="324">
        <f t="shared" si="2"/>
        <v>0.18297769230769229</v>
      </c>
      <c r="F29" s="226" t="str">
        <f t="shared" si="3"/>
        <v>von Kalotte 6A.1 HR</v>
      </c>
      <c r="G29" s="30">
        <f t="shared" si="4"/>
        <v>0</v>
      </c>
      <c r="H29" s="74">
        <f t="shared" si="5"/>
        <v>0</v>
      </c>
      <c r="I29" s="74"/>
      <c r="J29" s="70"/>
    </row>
    <row r="30" spans="1:10">
      <c r="A30" s="71"/>
      <c r="B30" s="72" t="s">
        <v>11</v>
      </c>
      <c r="C30" s="73" t="s">
        <v>49</v>
      </c>
      <c r="D30" s="91">
        <f>8.5</f>
        <v>8.5</v>
      </c>
      <c r="E30" s="83">
        <f t="shared" si="2"/>
        <v>6.5384615384615383</v>
      </c>
      <c r="F30" s="226" t="str">
        <f t="shared" si="3"/>
        <v>von Kalotte 6A.1 HR</v>
      </c>
      <c r="G30" s="30">
        <f t="shared" si="4"/>
        <v>0</v>
      </c>
      <c r="H30" s="74">
        <f t="shared" si="5"/>
        <v>0</v>
      </c>
      <c r="I30" s="74"/>
      <c r="J30" s="70"/>
    </row>
    <row r="31" spans="1:10">
      <c r="A31" s="71"/>
      <c r="B31" s="72" t="s">
        <v>13</v>
      </c>
      <c r="C31" s="73" t="s">
        <v>6</v>
      </c>
      <c r="D31" s="91">
        <f>57.91</f>
        <v>57.91</v>
      </c>
      <c r="E31" s="83">
        <f t="shared" si="2"/>
        <v>44.546153846153842</v>
      </c>
      <c r="F31" s="226" t="str">
        <f t="shared" si="3"/>
        <v>von Kalotte 6A.1 HR</v>
      </c>
      <c r="G31" s="30">
        <f t="shared" si="4"/>
        <v>0</v>
      </c>
      <c r="H31" s="74">
        <f t="shared" si="5"/>
        <v>0</v>
      </c>
      <c r="I31" s="74"/>
      <c r="J31" s="70"/>
    </row>
    <row r="32" spans="1:10">
      <c r="A32" s="12"/>
      <c r="B32" s="58" t="s">
        <v>12</v>
      </c>
      <c r="C32" s="59"/>
      <c r="D32" s="92"/>
      <c r="E32" s="84"/>
      <c r="F32" s="227"/>
      <c r="G32" s="36"/>
      <c r="H32" s="34">
        <f>SUM(H19:H31)</f>
        <v>0</v>
      </c>
      <c r="I32" s="123">
        <f>'1.1 Vortriebsdauer Kalotte HR'!D6</f>
        <v>215.6</v>
      </c>
      <c r="J32" s="34">
        <f>H32*I32</f>
        <v>0</v>
      </c>
    </row>
    <row r="33" spans="1:10" ht="7.35" customHeight="1">
      <c r="A33" s="12"/>
      <c r="B33" s="58"/>
      <c r="C33" s="59"/>
      <c r="D33" s="92"/>
      <c r="E33" s="84"/>
      <c r="F33" s="227"/>
      <c r="G33" s="36"/>
      <c r="H33" s="34"/>
      <c r="I33" s="34"/>
      <c r="J33" s="34"/>
    </row>
    <row r="34" spans="1:10" ht="36">
      <c r="A34" s="79" t="s">
        <v>37</v>
      </c>
      <c r="B34" s="155" t="s">
        <v>142</v>
      </c>
      <c r="C34" s="59" t="s">
        <v>5</v>
      </c>
      <c r="D34" s="95">
        <f>(67.79-57.91)*$A$35</f>
        <v>25.688000000000027</v>
      </c>
      <c r="E34" s="84">
        <f t="shared" ref="E34:E41" si="6">D34/$A$35</f>
        <v>9.8800000000000097</v>
      </c>
      <c r="F34" s="226"/>
      <c r="G34" s="195"/>
      <c r="H34" s="35">
        <f t="shared" ref="H34:H41" si="7">ROUND(E34*G34,2)</f>
        <v>0</v>
      </c>
      <c r="I34" s="35"/>
      <c r="J34" s="65"/>
    </row>
    <row r="35" spans="1:10">
      <c r="A35" s="96">
        <f>'1.1 Vortriebsdauer Kalotte HR'!C7</f>
        <v>2.6</v>
      </c>
      <c r="B35" s="55" t="str">
        <f>'1.0a Rüstzeiten'!A7</f>
        <v>Rüsten Haupttunnel, Ausbruch KSG, sprengen</v>
      </c>
      <c r="C35" s="253" t="s">
        <v>49</v>
      </c>
      <c r="D35" s="254">
        <v>1</v>
      </c>
      <c r="E35" s="85">
        <f t="shared" si="6"/>
        <v>0.38461538461538458</v>
      </c>
      <c r="F35" s="225" t="s">
        <v>211</v>
      </c>
      <c r="G35" s="128">
        <f>ROUND('1.0a Rüstzeiten'!G7*'1.0 Allgemeines'!F$38/24,2)</f>
        <v>0</v>
      </c>
      <c r="H35" s="35">
        <f t="shared" si="7"/>
        <v>0</v>
      </c>
      <c r="I35" s="74"/>
      <c r="J35" s="70"/>
    </row>
    <row r="36" spans="1:10">
      <c r="A36" s="79"/>
      <c r="B36" s="156" t="str">
        <f>'1.0a Rüstzeiten'!A17</f>
        <v>Rüsten Haupttunnel, Spritzbeton/Bewehrung KSG</v>
      </c>
      <c r="C36" s="255" t="s">
        <v>49</v>
      </c>
      <c r="D36" s="124">
        <v>1</v>
      </c>
      <c r="E36" s="99">
        <f t="shared" si="6"/>
        <v>0.38461538461538458</v>
      </c>
      <c r="F36" s="259" t="s">
        <v>211</v>
      </c>
      <c r="G36" s="260">
        <f>ROUND('1.0a Rüstzeiten'!G17*'1.0 Allgemeines'!F$38/24,2)</f>
        <v>0</v>
      </c>
      <c r="H36" s="33">
        <f t="shared" si="7"/>
        <v>0</v>
      </c>
      <c r="I36" s="74"/>
      <c r="J36" s="70"/>
    </row>
    <row r="37" spans="1:10">
      <c r="A37" s="316"/>
      <c r="B37" s="72" t="s">
        <v>103</v>
      </c>
      <c r="C37" s="73" t="s">
        <v>6</v>
      </c>
      <c r="D37" s="91">
        <f>12.21*$A$35</f>
        <v>31.746000000000002</v>
      </c>
      <c r="E37" s="83">
        <f t="shared" si="6"/>
        <v>12.21</v>
      </c>
      <c r="F37" s="226"/>
      <c r="G37" s="195"/>
      <c r="H37" s="74">
        <f t="shared" si="7"/>
        <v>0</v>
      </c>
      <c r="I37" s="74"/>
      <c r="J37" s="70"/>
    </row>
    <row r="38" spans="1:10">
      <c r="A38" s="71"/>
      <c r="B38" s="72" t="s">
        <v>84</v>
      </c>
      <c r="C38" s="73" t="s">
        <v>379</v>
      </c>
      <c r="D38" s="91">
        <f>12.21*$A$35*4.12/1000</f>
        <v>0.13079352</v>
      </c>
      <c r="E38" s="324">
        <f t="shared" si="6"/>
        <v>5.0305199999999994E-2</v>
      </c>
      <c r="F38" s="226" t="s">
        <v>212</v>
      </c>
      <c r="G38" s="195"/>
      <c r="H38" s="74">
        <f t="shared" si="7"/>
        <v>0</v>
      </c>
      <c r="I38" s="74"/>
      <c r="J38" s="70"/>
    </row>
    <row r="39" spans="1:10">
      <c r="A39" s="71"/>
      <c r="B39" s="72" t="s">
        <v>138</v>
      </c>
      <c r="C39" s="73" t="s">
        <v>379</v>
      </c>
      <c r="D39" s="91">
        <f>12.21*$A$35*4.12/1000</f>
        <v>0.13079352</v>
      </c>
      <c r="E39" s="324">
        <f t="shared" si="6"/>
        <v>5.0305199999999994E-2</v>
      </c>
      <c r="F39" s="226" t="s">
        <v>212</v>
      </c>
      <c r="G39" s="195"/>
      <c r="H39" s="74">
        <f t="shared" si="7"/>
        <v>0</v>
      </c>
      <c r="I39" s="74"/>
      <c r="J39" s="70"/>
    </row>
    <row r="40" spans="1:10">
      <c r="A40" s="71"/>
      <c r="B40" s="72" t="s">
        <v>288</v>
      </c>
      <c r="C40" s="73" t="s">
        <v>7</v>
      </c>
      <c r="D40" s="91">
        <f>2*A35</f>
        <v>5.2</v>
      </c>
      <c r="E40" s="83">
        <f t="shared" si="6"/>
        <v>2</v>
      </c>
      <c r="F40" s="226" t="s">
        <v>212</v>
      </c>
      <c r="G40" s="290"/>
      <c r="H40" s="69">
        <f t="shared" si="7"/>
        <v>0</v>
      </c>
      <c r="I40" s="74"/>
      <c r="J40" s="70"/>
    </row>
    <row r="41" spans="1:10">
      <c r="A41" s="71"/>
      <c r="B41" s="72" t="s">
        <v>13</v>
      </c>
      <c r="C41" s="73" t="s">
        <v>6</v>
      </c>
      <c r="D41" s="94">
        <f>(67.79-57.91)</f>
        <v>9.8800000000000097</v>
      </c>
      <c r="E41" s="83">
        <f t="shared" si="6"/>
        <v>3.8000000000000034</v>
      </c>
      <c r="F41" s="226" t="s">
        <v>212</v>
      </c>
      <c r="G41" s="195"/>
      <c r="H41" s="74">
        <f t="shared" si="7"/>
        <v>0</v>
      </c>
      <c r="I41" s="74"/>
      <c r="J41" s="70"/>
    </row>
    <row r="42" spans="1:10">
      <c r="A42" s="12"/>
      <c r="B42" s="58" t="s">
        <v>12</v>
      </c>
      <c r="C42" s="59"/>
      <c r="D42" s="94"/>
      <c r="E42" s="84"/>
      <c r="F42" s="227"/>
      <c r="G42" s="36"/>
      <c r="H42" s="34">
        <f>SUM(H34:H41)</f>
        <v>0</v>
      </c>
      <c r="I42" s="34">
        <f>'1.1 Vortriebsdauer Kalotte HR'!D7</f>
        <v>27.1</v>
      </c>
      <c r="J42" s="34">
        <f>H42*I42</f>
        <v>0</v>
      </c>
    </row>
    <row r="43" spans="1:10" ht="7.35" customHeight="1">
      <c r="A43" s="12"/>
      <c r="B43" s="58"/>
      <c r="C43" s="59"/>
      <c r="D43" s="94"/>
      <c r="E43" s="84"/>
      <c r="F43" s="227"/>
      <c r="G43" s="36"/>
      <c r="H43" s="34"/>
      <c r="I43" s="33"/>
      <c r="J43" s="33"/>
    </row>
    <row r="44" spans="1:10" ht="24">
      <c r="A44" s="78" t="s">
        <v>41</v>
      </c>
      <c r="B44" s="55" t="s">
        <v>260</v>
      </c>
      <c r="C44" s="60" t="s">
        <v>5</v>
      </c>
      <c r="D44" s="95">
        <f>59.83*$A$45*0.31</f>
        <v>24.11149</v>
      </c>
      <c r="E44" s="84">
        <f t="shared" ref="E44:E63" si="8">D44/$A$45</f>
        <v>18.5473</v>
      </c>
      <c r="F44" s="228"/>
      <c r="G44" s="197"/>
      <c r="H44" s="35">
        <f>ROUND(E44*G44,2)</f>
        <v>0</v>
      </c>
      <c r="I44" s="35"/>
      <c r="J44" s="65"/>
    </row>
    <row r="45" spans="1:10" ht="24">
      <c r="A45" s="96">
        <f>'1.1 Vortriebsdauer Kalotte HR'!C8</f>
        <v>1.3</v>
      </c>
      <c r="B45" s="155" t="s">
        <v>261</v>
      </c>
      <c r="C45" s="59" t="s">
        <v>5</v>
      </c>
      <c r="D45" s="95">
        <f>59.83*$A$45*0.69</f>
        <v>53.667509999999993</v>
      </c>
      <c r="E45" s="84">
        <f t="shared" si="8"/>
        <v>41.282699999999991</v>
      </c>
      <c r="F45" s="265"/>
      <c r="G45" s="195"/>
      <c r="H45" s="74">
        <f t="shared" ref="H45:H63" si="9">ROUND(E45*G45,2)</f>
        <v>0</v>
      </c>
      <c r="I45" s="74"/>
      <c r="J45" s="70"/>
    </row>
    <row r="46" spans="1:10">
      <c r="A46" s="96"/>
      <c r="B46" s="55" t="str">
        <f>'1.0a Rüstzeiten'!A5</f>
        <v>Rüsten Haupttunnel, Ausbruch Kalotte, sprengen</v>
      </c>
      <c r="C46" s="253" t="s">
        <v>49</v>
      </c>
      <c r="D46" s="254">
        <v>0.31</v>
      </c>
      <c r="E46" s="85">
        <f>D46/$A$45</f>
        <v>0.23846153846153845</v>
      </c>
      <c r="F46" s="233" t="s">
        <v>211</v>
      </c>
      <c r="G46" s="128">
        <f>ROUND('1.0a Rüstzeiten'!G5*'1.0 Allgemeines'!F$39/24,2)</f>
        <v>0</v>
      </c>
      <c r="H46" s="35">
        <f t="shared" si="9"/>
        <v>0</v>
      </c>
      <c r="I46" s="69"/>
      <c r="J46" s="70"/>
    </row>
    <row r="47" spans="1:10">
      <c r="A47" s="96"/>
      <c r="B47" s="56" t="str">
        <f>'1.0a Rüstzeiten'!A6</f>
        <v>Rüsten Haupttunnel, Ausbruch Kalotte, mechan. Lösen</v>
      </c>
      <c r="C47" s="102" t="s">
        <v>49</v>
      </c>
      <c r="D47" s="252">
        <v>0.69</v>
      </c>
      <c r="E47" s="83">
        <f>D47/$A$45</f>
        <v>0.53076923076923066</v>
      </c>
      <c r="F47" s="233" t="s">
        <v>211</v>
      </c>
      <c r="G47" s="30">
        <f>ROUND('1.0a Rüstzeiten'!G6*'1.0 Allgemeines'!F$39/24,2)</f>
        <v>0</v>
      </c>
      <c r="H47" s="74">
        <f>ROUND(E47*G47,2)</f>
        <v>0</v>
      </c>
      <c r="I47" s="69"/>
      <c r="J47" s="70"/>
    </row>
    <row r="48" spans="1:10">
      <c r="A48" s="96"/>
      <c r="B48" s="56" t="str">
        <f>'1.0a Rüstzeiten'!A16</f>
        <v>Rüsten Haupttunnel, Spritzbeton/Bewehrung Kalotte</v>
      </c>
      <c r="C48" s="102" t="s">
        <v>49</v>
      </c>
      <c r="D48" s="252">
        <v>1</v>
      </c>
      <c r="E48" s="83">
        <f>D48/$A$45</f>
        <v>0.76923076923076916</v>
      </c>
      <c r="F48" s="233" t="s">
        <v>211</v>
      </c>
      <c r="G48" s="30">
        <f>ROUND('1.0a Rüstzeiten'!G16*'1.0 Allgemeines'!F$39/24,2)</f>
        <v>0</v>
      </c>
      <c r="H48" s="74">
        <f t="shared" si="9"/>
        <v>0</v>
      </c>
      <c r="I48" s="69"/>
      <c r="J48" s="70"/>
    </row>
    <row r="49" spans="1:10" ht="24">
      <c r="A49" s="96"/>
      <c r="B49" s="156" t="str">
        <f>'1.0a Rüstzeiten'!A22</f>
        <v>Rüsten Haupttunnel, Ankern und Spießen Kalotte
(ggf. inkl. Rohrschirm)</v>
      </c>
      <c r="C49" s="255" t="s">
        <v>49</v>
      </c>
      <c r="D49" s="124">
        <v>1</v>
      </c>
      <c r="E49" s="99">
        <f>D49/$A$45</f>
        <v>0.76923076923076916</v>
      </c>
      <c r="F49" s="259" t="s">
        <v>211</v>
      </c>
      <c r="G49" s="260">
        <f>ROUND('1.0a Rüstzeiten'!G22*'1.0 Allgemeines'!F$39/24,2)</f>
        <v>0</v>
      </c>
      <c r="H49" s="33">
        <f t="shared" si="9"/>
        <v>0</v>
      </c>
      <c r="I49" s="69"/>
      <c r="J49" s="70"/>
    </row>
    <row r="50" spans="1:10">
      <c r="A50" s="71"/>
      <c r="B50" s="72" t="s">
        <v>134</v>
      </c>
      <c r="C50" s="73" t="s">
        <v>49</v>
      </c>
      <c r="D50" s="91">
        <f>40/2</f>
        <v>20</v>
      </c>
      <c r="E50" s="83">
        <f t="shared" si="8"/>
        <v>15.384615384615383</v>
      </c>
      <c r="F50" s="226" t="str">
        <f>"von " &amp;A4</f>
        <v>von Kalotte 6A.1 HR</v>
      </c>
      <c r="G50" s="70">
        <f>G9</f>
        <v>0</v>
      </c>
      <c r="H50" s="74">
        <f t="shared" si="9"/>
        <v>0</v>
      </c>
      <c r="I50" s="74"/>
      <c r="J50" s="70"/>
    </row>
    <row r="51" spans="1:10">
      <c r="A51" s="76"/>
      <c r="B51" s="72" t="s">
        <v>135</v>
      </c>
      <c r="C51" s="73" t="s">
        <v>49</v>
      </c>
      <c r="D51" s="91">
        <f>40/2</f>
        <v>20</v>
      </c>
      <c r="E51" s="83">
        <f t="shared" si="8"/>
        <v>15.384615384615383</v>
      </c>
      <c r="F51" s="226" t="s">
        <v>212</v>
      </c>
      <c r="G51" s="195"/>
      <c r="H51" s="74">
        <f t="shared" si="9"/>
        <v>0</v>
      </c>
      <c r="I51" s="74"/>
      <c r="J51" s="70"/>
    </row>
    <row r="52" spans="1:10">
      <c r="A52" s="76"/>
      <c r="B52" s="72" t="s">
        <v>14</v>
      </c>
      <c r="C52" s="73" t="s">
        <v>6</v>
      </c>
      <c r="D52" s="91">
        <f>18.45*$A$45</f>
        <v>23.984999999999999</v>
      </c>
      <c r="E52" s="83">
        <f t="shared" si="8"/>
        <v>18.45</v>
      </c>
      <c r="F52" s="226"/>
      <c r="G52" s="195"/>
      <c r="H52" s="74">
        <f t="shared" si="9"/>
        <v>0</v>
      </c>
      <c r="I52" s="74"/>
      <c r="J52" s="70"/>
    </row>
    <row r="53" spans="1:10">
      <c r="A53" s="71"/>
      <c r="B53" s="72" t="s">
        <v>380</v>
      </c>
      <c r="C53" s="73" t="s">
        <v>379</v>
      </c>
      <c r="D53" s="91">
        <f>18.45*$A$45*5.38/1000</f>
        <v>0.1290393</v>
      </c>
      <c r="E53" s="324">
        <f t="shared" si="8"/>
        <v>9.9260999999999988E-2</v>
      </c>
      <c r="F53" s="226" t="s">
        <v>212</v>
      </c>
      <c r="G53" s="195"/>
      <c r="H53" s="74">
        <f t="shared" si="9"/>
        <v>0</v>
      </c>
      <c r="I53" s="74"/>
      <c r="J53" s="70"/>
    </row>
    <row r="54" spans="1:10">
      <c r="A54" s="71"/>
      <c r="B54" s="72" t="s">
        <v>381</v>
      </c>
      <c r="C54" s="73" t="s">
        <v>379</v>
      </c>
      <c r="D54" s="91">
        <f>18.45*$A$45*5.38/1000</f>
        <v>0.1290393</v>
      </c>
      <c r="E54" s="324">
        <f t="shared" si="8"/>
        <v>9.9260999999999988E-2</v>
      </c>
      <c r="F54" s="226" t="s">
        <v>212</v>
      </c>
      <c r="G54" s="195"/>
      <c r="H54" s="69">
        <f t="shared" si="9"/>
        <v>0</v>
      </c>
      <c r="I54" s="74"/>
      <c r="J54" s="70"/>
    </row>
    <row r="55" spans="1:10">
      <c r="A55" s="71"/>
      <c r="B55" s="72" t="s">
        <v>101</v>
      </c>
      <c r="C55" s="73" t="s">
        <v>7</v>
      </c>
      <c r="D55" s="91">
        <f>2*A45</f>
        <v>2.6</v>
      </c>
      <c r="E55" s="83">
        <f>D55/$A$45</f>
        <v>2</v>
      </c>
      <c r="F55" s="226" t="s">
        <v>212</v>
      </c>
      <c r="G55" s="195"/>
      <c r="H55" s="74">
        <f t="shared" si="9"/>
        <v>0</v>
      </c>
      <c r="I55" s="74"/>
      <c r="J55" s="70"/>
    </row>
    <row r="56" spans="1:10">
      <c r="A56" s="71"/>
      <c r="B56" s="72" t="s">
        <v>32</v>
      </c>
      <c r="C56" s="73" t="s">
        <v>379</v>
      </c>
      <c r="D56" s="91">
        <f>19.02*12.9/1000</f>
        <v>0.24535799999999999</v>
      </c>
      <c r="E56" s="324">
        <f t="shared" si="8"/>
        <v>0.18873692307692305</v>
      </c>
      <c r="F56" s="226" t="s">
        <v>212</v>
      </c>
      <c r="G56" s="195"/>
      <c r="H56" s="74">
        <f t="shared" si="9"/>
        <v>0</v>
      </c>
      <c r="I56" s="74"/>
      <c r="J56" s="70"/>
    </row>
    <row r="57" spans="1:10">
      <c r="A57" s="71"/>
      <c r="B57" s="72" t="s">
        <v>11</v>
      </c>
      <c r="C57" s="73" t="s">
        <v>49</v>
      </c>
      <c r="D57" s="91">
        <f>8.5</f>
        <v>8.5</v>
      </c>
      <c r="E57" s="83">
        <f t="shared" si="8"/>
        <v>6.5384615384615383</v>
      </c>
      <c r="F57" s="226" t="str">
        <f>"von "&amp;A4</f>
        <v>von Kalotte 6A.1 HR</v>
      </c>
      <c r="G57" s="70">
        <f>G15</f>
        <v>0</v>
      </c>
      <c r="H57" s="74">
        <f t="shared" si="9"/>
        <v>0</v>
      </c>
      <c r="I57" s="74"/>
      <c r="J57" s="70"/>
    </row>
    <row r="58" spans="1:10">
      <c r="A58" s="71"/>
      <c r="B58" s="72" t="s">
        <v>82</v>
      </c>
      <c r="C58" s="73" t="s">
        <v>6</v>
      </c>
      <c r="D58" s="91">
        <f>59.83</f>
        <v>59.83</v>
      </c>
      <c r="E58" s="83">
        <f>D58/$A$45</f>
        <v>46.023076923076921</v>
      </c>
      <c r="F58" s="226" t="s">
        <v>212</v>
      </c>
      <c r="G58" s="195"/>
      <c r="H58" s="74">
        <f t="shared" si="9"/>
        <v>0</v>
      </c>
      <c r="I58" s="74"/>
      <c r="J58" s="70"/>
    </row>
    <row r="59" spans="1:10">
      <c r="A59" s="71"/>
      <c r="B59" s="72" t="s">
        <v>15</v>
      </c>
      <c r="C59" s="73" t="s">
        <v>379</v>
      </c>
      <c r="D59" s="91">
        <f>59.83*3.02/1000</f>
        <v>0.1806866</v>
      </c>
      <c r="E59" s="324">
        <f t="shared" si="8"/>
        <v>0.13898969230769231</v>
      </c>
      <c r="F59" s="226" t="s">
        <v>212</v>
      </c>
      <c r="G59" s="195"/>
      <c r="H59" s="74">
        <f t="shared" si="9"/>
        <v>0</v>
      </c>
      <c r="I59" s="74"/>
      <c r="J59" s="70"/>
    </row>
    <row r="60" spans="1:10">
      <c r="A60" s="71"/>
      <c r="B60" s="72" t="s">
        <v>80</v>
      </c>
      <c r="C60" s="73" t="s">
        <v>49</v>
      </c>
      <c r="D60" s="91">
        <f>5/7.8*$A$45</f>
        <v>0.83333333333333348</v>
      </c>
      <c r="E60" s="83">
        <f t="shared" si="8"/>
        <v>0.64102564102564108</v>
      </c>
      <c r="F60" s="226" t="s">
        <v>212</v>
      </c>
      <c r="G60" s="195"/>
      <c r="H60" s="74">
        <f t="shared" si="9"/>
        <v>0</v>
      </c>
      <c r="I60" s="74"/>
      <c r="J60" s="70"/>
    </row>
    <row r="61" spans="1:10" ht="24">
      <c r="A61" s="71"/>
      <c r="B61" s="56" t="s">
        <v>81</v>
      </c>
      <c r="C61" s="73" t="s">
        <v>49</v>
      </c>
      <c r="D61" s="91">
        <f>5*11.7/7.8</f>
        <v>7.5</v>
      </c>
      <c r="E61" s="83">
        <f t="shared" si="8"/>
        <v>5.7692307692307692</v>
      </c>
      <c r="F61" s="226" t="s">
        <v>212</v>
      </c>
      <c r="G61" s="195"/>
      <c r="H61" s="74">
        <f t="shared" si="9"/>
        <v>0</v>
      </c>
      <c r="I61" s="74"/>
      <c r="J61" s="70"/>
    </row>
    <row r="62" spans="1:10">
      <c r="A62" s="71"/>
      <c r="B62" s="56" t="s">
        <v>383</v>
      </c>
      <c r="C62" s="73" t="s">
        <v>5</v>
      </c>
      <c r="D62" s="91">
        <f>0.76*$A$45</f>
        <v>0.9880000000000001</v>
      </c>
      <c r="E62" s="83">
        <f t="shared" ref="E62" si="10">D62/$A$45</f>
        <v>0.76</v>
      </c>
      <c r="F62" s="226" t="s">
        <v>212</v>
      </c>
      <c r="G62" s="195"/>
      <c r="H62" s="74">
        <f t="shared" ref="H62" si="11">ROUND(E62*G62,2)</f>
        <v>0</v>
      </c>
      <c r="I62" s="74"/>
      <c r="J62" s="70"/>
    </row>
    <row r="63" spans="1:10">
      <c r="A63" s="71"/>
      <c r="B63" s="72" t="s">
        <v>33</v>
      </c>
      <c r="C63" s="73" t="s">
        <v>5</v>
      </c>
      <c r="D63" s="91">
        <f>0.76*$A$45</f>
        <v>0.9880000000000001</v>
      </c>
      <c r="E63" s="83">
        <f t="shared" si="8"/>
        <v>0.76</v>
      </c>
      <c r="F63" s="226" t="s">
        <v>212</v>
      </c>
      <c r="G63" s="195"/>
      <c r="H63" s="74">
        <f t="shared" si="9"/>
        <v>0</v>
      </c>
      <c r="I63" s="74"/>
      <c r="J63" s="70"/>
    </row>
    <row r="64" spans="1:10">
      <c r="A64" s="11"/>
      <c r="B64" s="77" t="s">
        <v>12</v>
      </c>
      <c r="C64" s="60"/>
      <c r="D64" s="95"/>
      <c r="E64" s="85"/>
      <c r="F64" s="228"/>
      <c r="G64" s="65"/>
      <c r="H64" s="35">
        <f>SUM(H44:H63)</f>
        <v>0</v>
      </c>
      <c r="I64" s="120">
        <f>'1.1 Vortriebsdauer Kalotte HR'!D8</f>
        <v>126.4</v>
      </c>
      <c r="J64" s="34">
        <f>H64*I64</f>
        <v>0</v>
      </c>
    </row>
    <row r="65" spans="1:10" ht="7.35" customHeight="1">
      <c r="A65" s="12"/>
      <c r="B65" s="58"/>
      <c r="C65" s="59"/>
      <c r="D65" s="95"/>
      <c r="E65" s="84"/>
      <c r="F65" s="227"/>
      <c r="G65" s="36"/>
      <c r="H65" s="34"/>
      <c r="I65" s="34"/>
      <c r="J65" s="36"/>
    </row>
    <row r="66" spans="1:10" ht="36">
      <c r="A66" s="79" t="s">
        <v>42</v>
      </c>
      <c r="B66" s="155" t="s">
        <v>290</v>
      </c>
      <c r="C66" s="59" t="s">
        <v>5</v>
      </c>
      <c r="D66" s="95">
        <f>(70.35-59.83)*$A$67*1</f>
        <v>27.35199999999999</v>
      </c>
      <c r="E66" s="84">
        <f t="shared" ref="E66:E73" si="12">D66/$A$67</f>
        <v>10.519999999999996</v>
      </c>
      <c r="F66" s="265"/>
      <c r="G66" s="195"/>
      <c r="H66" s="74">
        <f t="shared" ref="H66:H73" si="13">ROUND(E66*G66,2)</f>
        <v>0</v>
      </c>
      <c r="I66" s="74"/>
      <c r="J66" s="70"/>
    </row>
    <row r="67" spans="1:10">
      <c r="A67" s="96">
        <f>'1.1 Vortriebsdauer Kalotte HR'!C9</f>
        <v>2.6</v>
      </c>
      <c r="B67" s="56" t="str">
        <f>'1.0a Rüstzeiten'!A8</f>
        <v>Rüsten Haupttunnel, Ausbruch KSG, mechan. Lösen</v>
      </c>
      <c r="C67" s="253" t="s">
        <v>49</v>
      </c>
      <c r="D67" s="254">
        <v>1</v>
      </c>
      <c r="E67" s="85">
        <f t="shared" si="12"/>
        <v>0.38461538461538458</v>
      </c>
      <c r="F67" s="233" t="s">
        <v>211</v>
      </c>
      <c r="G67" s="128">
        <f>ROUND('1.0a Rüstzeiten'!G8*'1.0 Allgemeines'!F$40/24,2)</f>
        <v>0</v>
      </c>
      <c r="H67" s="35">
        <f t="shared" si="13"/>
        <v>0</v>
      </c>
      <c r="I67" s="74"/>
      <c r="J67" s="70"/>
    </row>
    <row r="68" spans="1:10">
      <c r="A68" s="96"/>
      <c r="B68" s="156" t="str">
        <f>'1.0a Rüstzeiten'!A17</f>
        <v>Rüsten Haupttunnel, Spritzbeton/Bewehrung KSG</v>
      </c>
      <c r="C68" s="255" t="s">
        <v>49</v>
      </c>
      <c r="D68" s="124">
        <v>1</v>
      </c>
      <c r="E68" s="99">
        <f t="shared" si="12"/>
        <v>0.38461538461538458</v>
      </c>
      <c r="F68" s="259" t="s">
        <v>211</v>
      </c>
      <c r="G68" s="260">
        <f>ROUND('1.0a Rüstzeiten'!G17*'1.0 Allgemeines'!F$40/24,2)</f>
        <v>0</v>
      </c>
      <c r="H68" s="33">
        <f t="shared" si="13"/>
        <v>0</v>
      </c>
      <c r="I68" s="74"/>
      <c r="J68" s="70"/>
    </row>
    <row r="69" spans="1:10">
      <c r="A69" s="71"/>
      <c r="B69" s="72" t="s">
        <v>43</v>
      </c>
      <c r="C69" s="73" t="s">
        <v>6</v>
      </c>
      <c r="D69" s="91">
        <f>12.32*$A$67</f>
        <v>32.032000000000004</v>
      </c>
      <c r="E69" s="83">
        <f t="shared" si="12"/>
        <v>12.32</v>
      </c>
      <c r="F69" s="226" t="s">
        <v>212</v>
      </c>
      <c r="G69" s="195"/>
      <c r="H69" s="74">
        <f t="shared" si="13"/>
        <v>0</v>
      </c>
      <c r="I69" s="74"/>
      <c r="J69" s="70"/>
    </row>
    <row r="70" spans="1:10">
      <c r="A70" s="71"/>
      <c r="B70" s="72" t="s">
        <v>280</v>
      </c>
      <c r="C70" s="73" t="s">
        <v>379</v>
      </c>
      <c r="D70" s="91">
        <f>12.32*$A$67*5.38/1000</f>
        <v>0.17233216000000001</v>
      </c>
      <c r="E70" s="324">
        <f t="shared" si="12"/>
        <v>6.6281599999999996E-2</v>
      </c>
      <c r="F70" s="226" t="s">
        <v>212</v>
      </c>
      <c r="G70" s="195"/>
      <c r="H70" s="74">
        <f t="shared" si="13"/>
        <v>0</v>
      </c>
      <c r="I70" s="74"/>
      <c r="J70" s="70"/>
    </row>
    <row r="71" spans="1:10">
      <c r="A71" s="71"/>
      <c r="B71" s="72" t="s">
        <v>281</v>
      </c>
      <c r="C71" s="73" t="s">
        <v>379</v>
      </c>
      <c r="D71" s="91">
        <f>12.32*$A$67*5.38/1000</f>
        <v>0.17233216000000001</v>
      </c>
      <c r="E71" s="324">
        <f t="shared" si="12"/>
        <v>6.6281599999999996E-2</v>
      </c>
      <c r="F71" s="226" t="s">
        <v>212</v>
      </c>
      <c r="G71" s="195"/>
      <c r="H71" s="74">
        <f t="shared" si="13"/>
        <v>0</v>
      </c>
      <c r="I71" s="74"/>
      <c r="J71" s="70"/>
    </row>
    <row r="72" spans="1:10">
      <c r="A72" s="71"/>
      <c r="B72" s="72" t="s">
        <v>288</v>
      </c>
      <c r="C72" s="73" t="s">
        <v>7</v>
      </c>
      <c r="D72" s="91">
        <f>2*A67</f>
        <v>5.2</v>
      </c>
      <c r="E72" s="83">
        <f t="shared" si="12"/>
        <v>2</v>
      </c>
      <c r="F72" s="226" t="str">
        <f>"von "&amp;A$34</f>
        <v>von Kalottensohle 6A.2 HR</v>
      </c>
      <c r="G72" s="30">
        <f>G40</f>
        <v>0</v>
      </c>
      <c r="H72" s="69">
        <f t="shared" si="13"/>
        <v>0</v>
      </c>
      <c r="I72" s="74"/>
      <c r="J72" s="70"/>
    </row>
    <row r="73" spans="1:10">
      <c r="A73" s="71"/>
      <c r="B73" s="72" t="s">
        <v>13</v>
      </c>
      <c r="C73" s="73" t="s">
        <v>6</v>
      </c>
      <c r="D73" s="91">
        <f>(70.35-59.83)</f>
        <v>10.519999999999996</v>
      </c>
      <c r="E73" s="83">
        <f t="shared" si="12"/>
        <v>4.0461538461538442</v>
      </c>
      <c r="F73" s="226" t="str">
        <f>"von "&amp;A$34</f>
        <v>von Kalottensohle 6A.2 HR</v>
      </c>
      <c r="G73" s="70">
        <f>G41</f>
        <v>0</v>
      </c>
      <c r="H73" s="74">
        <f t="shared" si="13"/>
        <v>0</v>
      </c>
      <c r="I73" s="74"/>
      <c r="J73" s="70"/>
    </row>
    <row r="74" spans="1:10">
      <c r="A74" s="12"/>
      <c r="B74" s="58" t="s">
        <v>12</v>
      </c>
      <c r="C74" s="59"/>
      <c r="D74" s="95"/>
      <c r="E74" s="84"/>
      <c r="F74" s="227"/>
      <c r="G74" s="36"/>
      <c r="H74" s="34">
        <f>SUM(H66:H73)</f>
        <v>0</v>
      </c>
      <c r="I74" s="34">
        <f>'1.1 Vortriebsdauer Kalotte HR'!D9</f>
        <v>51.4</v>
      </c>
      <c r="J74" s="34">
        <f>H74*I74</f>
        <v>0</v>
      </c>
    </row>
    <row r="75" spans="1:10" ht="7.35" customHeight="1">
      <c r="A75" s="12"/>
      <c r="B75" s="58"/>
      <c r="C75" s="59"/>
      <c r="D75" s="95"/>
      <c r="E75" s="84"/>
      <c r="F75" s="227"/>
      <c r="G75" s="36"/>
      <c r="H75" s="34"/>
      <c r="I75" s="34"/>
      <c r="J75" s="34"/>
    </row>
    <row r="76" spans="1:10" ht="24">
      <c r="A76" s="78" t="s">
        <v>78</v>
      </c>
      <c r="B76" s="155" t="s">
        <v>105</v>
      </c>
      <c r="C76" s="59" t="s">
        <v>5</v>
      </c>
      <c r="D76" s="95">
        <f>(60.81)*$A$77*1</f>
        <v>60.81</v>
      </c>
      <c r="E76" s="85">
        <f>D76/$A$77</f>
        <v>60.81</v>
      </c>
      <c r="F76" s="228"/>
      <c r="G76" s="197"/>
      <c r="H76" s="35">
        <f>ROUND(E76*G76,2)</f>
        <v>0</v>
      </c>
      <c r="I76" s="35"/>
      <c r="J76" s="65"/>
    </row>
    <row r="77" spans="1:10">
      <c r="A77" s="97">
        <f>'1.1 Vortriebsdauer Kalotte HR'!C10</f>
        <v>1</v>
      </c>
      <c r="B77" s="155" t="s">
        <v>104</v>
      </c>
      <c r="C77" s="59" t="s">
        <v>49</v>
      </c>
      <c r="D77" s="95">
        <v>7</v>
      </c>
      <c r="E77" s="84">
        <f>D77/$A$77</f>
        <v>7</v>
      </c>
      <c r="F77" s="265"/>
      <c r="G77" s="195"/>
      <c r="H77" s="74">
        <f t="shared" ref="H77:H94" si="14">ROUND(E77*G77,2)</f>
        <v>0</v>
      </c>
      <c r="I77" s="74"/>
      <c r="J77" s="70"/>
    </row>
    <row r="78" spans="1:10">
      <c r="A78" s="126"/>
      <c r="B78" s="55" t="str">
        <f>'1.0a Rüstzeiten'!A6</f>
        <v>Rüsten Haupttunnel, Ausbruch Kalotte, mechan. Lösen</v>
      </c>
      <c r="C78" s="253" t="s">
        <v>49</v>
      </c>
      <c r="D78" s="254">
        <v>1</v>
      </c>
      <c r="E78" s="85">
        <f>D78/$A$77</f>
        <v>1</v>
      </c>
      <c r="F78" s="233" t="s">
        <v>211</v>
      </c>
      <c r="G78" s="103">
        <f>ROUND('1.0a Rüstzeiten'!G6*'1.0 Allgemeines'!F$41/24,2)</f>
        <v>0</v>
      </c>
      <c r="H78" s="120">
        <f t="shared" si="14"/>
        <v>0</v>
      </c>
      <c r="I78" s="74"/>
      <c r="J78" s="70"/>
    </row>
    <row r="79" spans="1:10">
      <c r="A79" s="126"/>
      <c r="B79" s="56" t="str">
        <f>'1.0a Rüstzeiten'!A16</f>
        <v>Rüsten Haupttunnel, Spritzbeton/Bewehrung Kalotte</v>
      </c>
      <c r="C79" s="102" t="s">
        <v>49</v>
      </c>
      <c r="D79" s="252">
        <v>1</v>
      </c>
      <c r="E79" s="83">
        <f>D79/$A$77</f>
        <v>1</v>
      </c>
      <c r="F79" s="233" t="s">
        <v>211</v>
      </c>
      <c r="G79" s="104">
        <f>ROUND('1.0a Rüstzeiten'!G16*'1.0 Allgemeines'!F$41/24,2)</f>
        <v>0</v>
      </c>
      <c r="H79" s="121">
        <f t="shared" si="14"/>
        <v>0</v>
      </c>
      <c r="I79" s="74"/>
      <c r="J79" s="70"/>
    </row>
    <row r="80" spans="1:10" ht="24">
      <c r="A80" s="126"/>
      <c r="B80" s="156" t="str">
        <f>'1.0a Rüstzeiten'!A22</f>
        <v>Rüsten Haupttunnel, Ankern und Spießen Kalotte
(ggf. inkl. Rohrschirm)</v>
      </c>
      <c r="C80" s="255" t="s">
        <v>49</v>
      </c>
      <c r="D80" s="124">
        <v>1</v>
      </c>
      <c r="E80" s="99">
        <f>D80/$A$77</f>
        <v>1</v>
      </c>
      <c r="F80" s="259" t="s">
        <v>211</v>
      </c>
      <c r="G80" s="105">
        <f>ROUND('1.0a Rüstzeiten'!G22*'1.0 Allgemeines'!F$41/24,2)</f>
        <v>0</v>
      </c>
      <c r="H80" s="166">
        <f t="shared" si="14"/>
        <v>0</v>
      </c>
      <c r="I80" s="74"/>
      <c r="J80" s="70"/>
    </row>
    <row r="81" spans="1:10">
      <c r="A81" s="316"/>
      <c r="B81" s="72" t="s">
        <v>134</v>
      </c>
      <c r="C81" s="73" t="s">
        <v>49</v>
      </c>
      <c r="D81" s="91">
        <f>40/2</f>
        <v>20</v>
      </c>
      <c r="E81" s="85">
        <f t="shared" ref="E81:E94" si="15">D81/$A$77</f>
        <v>20</v>
      </c>
      <c r="F81" s="226" t="str">
        <f>"von "&amp;A4</f>
        <v>von Kalotte 6A.1 HR</v>
      </c>
      <c r="G81" s="70">
        <f>G50</f>
        <v>0</v>
      </c>
      <c r="H81" s="74">
        <f t="shared" si="14"/>
        <v>0</v>
      </c>
      <c r="I81" s="74"/>
      <c r="J81" s="70"/>
    </row>
    <row r="82" spans="1:10">
      <c r="A82" s="76"/>
      <c r="B82" s="72" t="s">
        <v>135</v>
      </c>
      <c r="C82" s="73" t="s">
        <v>49</v>
      </c>
      <c r="D82" s="91">
        <f>40/2</f>
        <v>20</v>
      </c>
      <c r="E82" s="83">
        <f t="shared" si="15"/>
        <v>20</v>
      </c>
      <c r="F82" s="226" t="str">
        <f>"von "&amp;A$44</f>
        <v>von Kalotte 7A.1 HR</v>
      </c>
      <c r="G82" s="70">
        <f>G51</f>
        <v>0</v>
      </c>
      <c r="H82" s="74">
        <f t="shared" si="14"/>
        <v>0</v>
      </c>
      <c r="I82" s="74"/>
      <c r="J82" s="70"/>
    </row>
    <row r="83" spans="1:10">
      <c r="A83" s="76"/>
      <c r="B83" s="72" t="s">
        <v>31</v>
      </c>
      <c r="C83" s="73" t="s">
        <v>6</v>
      </c>
      <c r="D83" s="91">
        <f>18.45*$A$77</f>
        <v>18.45</v>
      </c>
      <c r="E83" s="83">
        <f t="shared" si="15"/>
        <v>18.45</v>
      </c>
      <c r="F83" s="226" t="s">
        <v>212</v>
      </c>
      <c r="G83" s="195"/>
      <c r="H83" s="74">
        <f t="shared" si="14"/>
        <v>0</v>
      </c>
      <c r="I83" s="74"/>
      <c r="J83" s="70"/>
    </row>
    <row r="84" spans="1:10">
      <c r="A84" s="76"/>
      <c r="B84" s="72" t="s">
        <v>380</v>
      </c>
      <c r="C84" s="73" t="s">
        <v>379</v>
      </c>
      <c r="D84" s="91">
        <f>18.45*$A$77*5.38/1000</f>
        <v>9.9261000000000002E-2</v>
      </c>
      <c r="E84" s="324">
        <f t="shared" si="15"/>
        <v>9.9261000000000002E-2</v>
      </c>
      <c r="F84" s="226" t="str">
        <f>"von "&amp;A$44</f>
        <v>von Kalotte 7A.1 HR</v>
      </c>
      <c r="G84" s="70">
        <f>G53</f>
        <v>0</v>
      </c>
      <c r="H84" s="74">
        <f t="shared" si="14"/>
        <v>0</v>
      </c>
      <c r="I84" s="74"/>
      <c r="J84" s="70"/>
    </row>
    <row r="85" spans="1:10">
      <c r="A85" s="71"/>
      <c r="B85" s="72" t="s">
        <v>381</v>
      </c>
      <c r="C85" s="73" t="s">
        <v>379</v>
      </c>
      <c r="D85" s="91">
        <f>18.45*$A$77*5.38/1000</f>
        <v>9.9261000000000002E-2</v>
      </c>
      <c r="E85" s="324">
        <f t="shared" si="15"/>
        <v>9.9261000000000002E-2</v>
      </c>
      <c r="F85" s="226" t="str">
        <f>"von "&amp;A$44</f>
        <v>von Kalotte 7A.1 HR</v>
      </c>
      <c r="G85" s="70">
        <f>G54</f>
        <v>0</v>
      </c>
      <c r="H85" s="69">
        <f t="shared" si="14"/>
        <v>0</v>
      </c>
      <c r="I85" s="74"/>
      <c r="J85" s="70"/>
    </row>
    <row r="86" spans="1:10">
      <c r="A86" s="71"/>
      <c r="B86" s="72" t="s">
        <v>101</v>
      </c>
      <c r="C86" s="73" t="s">
        <v>7</v>
      </c>
      <c r="D86" s="91">
        <f>2*A77</f>
        <v>2</v>
      </c>
      <c r="E86" s="83">
        <f t="shared" si="15"/>
        <v>2</v>
      </c>
      <c r="F86" s="226" t="str">
        <f>"von "&amp;A$44</f>
        <v>von Kalotte 7A.1 HR</v>
      </c>
      <c r="G86" s="70">
        <f>G55</f>
        <v>0</v>
      </c>
      <c r="H86" s="74">
        <f t="shared" si="14"/>
        <v>0</v>
      </c>
      <c r="I86" s="74"/>
      <c r="J86" s="70"/>
    </row>
    <row r="87" spans="1:10">
      <c r="A87" s="71"/>
      <c r="B87" s="72" t="s">
        <v>32</v>
      </c>
      <c r="C87" s="73" t="s">
        <v>379</v>
      </c>
      <c r="D87" s="91">
        <f>19.18*12.9/1000</f>
        <v>0.247422</v>
      </c>
      <c r="E87" s="324">
        <f t="shared" si="15"/>
        <v>0.247422</v>
      </c>
      <c r="F87" s="226" t="str">
        <f>"von "&amp;A$44</f>
        <v>von Kalotte 7A.1 HR</v>
      </c>
      <c r="G87" s="70">
        <f>G56</f>
        <v>0</v>
      </c>
      <c r="H87" s="74">
        <f t="shared" si="14"/>
        <v>0</v>
      </c>
      <c r="I87" s="74"/>
      <c r="J87" s="70"/>
    </row>
    <row r="88" spans="1:10">
      <c r="A88" s="71"/>
      <c r="B88" s="72" t="s">
        <v>25</v>
      </c>
      <c r="C88" s="73" t="s">
        <v>49</v>
      </c>
      <c r="D88" s="91">
        <f>10.5</f>
        <v>10.5</v>
      </c>
      <c r="E88" s="83">
        <f t="shared" si="15"/>
        <v>10.5</v>
      </c>
      <c r="F88" s="226" t="s">
        <v>212</v>
      </c>
      <c r="G88" s="195"/>
      <c r="H88" s="74">
        <f t="shared" si="14"/>
        <v>0</v>
      </c>
      <c r="I88" s="74"/>
      <c r="J88" s="70"/>
    </row>
    <row r="89" spans="1:10">
      <c r="A89" s="71"/>
      <c r="B89" s="72" t="s">
        <v>82</v>
      </c>
      <c r="C89" s="73" t="s">
        <v>6</v>
      </c>
      <c r="D89" s="91">
        <f>60.81</f>
        <v>60.81</v>
      </c>
      <c r="E89" s="83">
        <f t="shared" si="15"/>
        <v>60.81</v>
      </c>
      <c r="F89" s="226" t="str">
        <f>"von "&amp;A$44</f>
        <v>von Kalotte 7A.1 HR</v>
      </c>
      <c r="G89" s="70">
        <f>G58</f>
        <v>0</v>
      </c>
      <c r="H89" s="74">
        <f t="shared" si="14"/>
        <v>0</v>
      </c>
      <c r="I89" s="74"/>
      <c r="J89" s="70"/>
    </row>
    <row r="90" spans="1:10">
      <c r="A90" s="71"/>
      <c r="B90" s="72" t="s">
        <v>15</v>
      </c>
      <c r="C90" s="73" t="s">
        <v>379</v>
      </c>
      <c r="D90" s="91">
        <f>60.81*3.02/1000</f>
        <v>0.18364620000000001</v>
      </c>
      <c r="E90" s="324">
        <f t="shared" si="15"/>
        <v>0.18364620000000001</v>
      </c>
      <c r="F90" s="226" t="str">
        <f>"von "&amp;A$44</f>
        <v>von Kalotte 7A.1 HR</v>
      </c>
      <c r="G90" s="70">
        <f>G59</f>
        <v>0</v>
      </c>
      <c r="H90" s="74">
        <f t="shared" si="14"/>
        <v>0</v>
      </c>
      <c r="I90" s="74"/>
      <c r="J90" s="70"/>
    </row>
    <row r="91" spans="1:10">
      <c r="A91" s="71"/>
      <c r="B91" s="72" t="s">
        <v>80</v>
      </c>
      <c r="C91" s="73" t="s">
        <v>49</v>
      </c>
      <c r="D91" s="91">
        <f>8/8*$A$77</f>
        <v>1</v>
      </c>
      <c r="E91" s="83">
        <f t="shared" si="15"/>
        <v>1</v>
      </c>
      <c r="F91" s="226" t="str">
        <f>"von "&amp;A$44</f>
        <v>von Kalotte 7A.1 HR</v>
      </c>
      <c r="G91" s="70">
        <f>G60</f>
        <v>0</v>
      </c>
      <c r="H91" s="74">
        <f t="shared" si="14"/>
        <v>0</v>
      </c>
      <c r="I91" s="74"/>
      <c r="J91" s="70"/>
    </row>
    <row r="92" spans="1:10" ht="24">
      <c r="A92" s="71"/>
      <c r="B92" s="56" t="s">
        <v>81</v>
      </c>
      <c r="C92" s="73" t="s">
        <v>49</v>
      </c>
      <c r="D92" s="91">
        <f>8*12/8</f>
        <v>12</v>
      </c>
      <c r="E92" s="83">
        <f t="shared" si="15"/>
        <v>12</v>
      </c>
      <c r="F92" s="226"/>
      <c r="G92" s="195"/>
      <c r="H92" s="74">
        <f t="shared" si="14"/>
        <v>0</v>
      </c>
      <c r="I92" s="74"/>
      <c r="J92" s="70"/>
    </row>
    <row r="93" spans="1:10">
      <c r="A93" s="71"/>
      <c r="B93" s="56" t="s">
        <v>383</v>
      </c>
      <c r="C93" s="73" t="s">
        <v>5</v>
      </c>
      <c r="D93" s="91">
        <f>0.76</f>
        <v>0.76</v>
      </c>
      <c r="E93" s="83">
        <f t="shared" ref="E93" si="16">D93/$A$77</f>
        <v>0.76</v>
      </c>
      <c r="F93" s="226" t="str">
        <f>"von "&amp;A$44</f>
        <v>von Kalotte 7A.1 HR</v>
      </c>
      <c r="G93" s="70">
        <f>G62</f>
        <v>0</v>
      </c>
      <c r="H93" s="74">
        <f t="shared" ref="H93" si="17">ROUND(E93*G93,2)</f>
        <v>0</v>
      </c>
      <c r="I93" s="74"/>
      <c r="J93" s="70"/>
    </row>
    <row r="94" spans="1:10">
      <c r="A94" s="71"/>
      <c r="B94" s="72" t="s">
        <v>33</v>
      </c>
      <c r="C94" s="73" t="s">
        <v>5</v>
      </c>
      <c r="D94" s="91">
        <f>0.76</f>
        <v>0.76</v>
      </c>
      <c r="E94" s="99">
        <f t="shared" si="15"/>
        <v>0.76</v>
      </c>
      <c r="F94" s="226" t="str">
        <f>"von "&amp;A$44</f>
        <v>von Kalotte 7A.1 HR</v>
      </c>
      <c r="G94" s="70">
        <f>G63</f>
        <v>0</v>
      </c>
      <c r="H94" s="74">
        <f t="shared" si="14"/>
        <v>0</v>
      </c>
      <c r="I94" s="74"/>
      <c r="J94" s="70"/>
    </row>
    <row r="95" spans="1:10">
      <c r="A95" s="11"/>
      <c r="B95" s="77" t="s">
        <v>12</v>
      </c>
      <c r="C95" s="60"/>
      <c r="D95" s="95"/>
      <c r="E95" s="85"/>
      <c r="F95" s="228"/>
      <c r="G95" s="65"/>
      <c r="H95" s="35">
        <f>SUM(H76:H94)</f>
        <v>0</v>
      </c>
      <c r="I95" s="35">
        <f>'1.1 Vortriebsdauer Kalotte HR'!D10</f>
        <v>78</v>
      </c>
      <c r="J95" s="34">
        <f>H95*I95</f>
        <v>0</v>
      </c>
    </row>
    <row r="96" spans="1:10" ht="7.35" customHeight="1">
      <c r="A96" s="12"/>
      <c r="B96" s="58"/>
      <c r="C96" s="59"/>
      <c r="D96" s="95"/>
      <c r="E96" s="84"/>
      <c r="F96" s="227"/>
      <c r="G96" s="36"/>
      <c r="H96" s="34"/>
      <c r="I96" s="34"/>
      <c r="J96" s="36"/>
    </row>
    <row r="97" spans="1:10" ht="36">
      <c r="A97" s="79" t="s">
        <v>79</v>
      </c>
      <c r="B97" s="155" t="s">
        <v>389</v>
      </c>
      <c r="C97" s="59" t="s">
        <v>5</v>
      </c>
      <c r="D97" s="95">
        <f>10.52*$A$98*1</f>
        <v>21.04</v>
      </c>
      <c r="E97" s="84">
        <f t="shared" ref="E97:E104" si="18">D97/$A$98</f>
        <v>10.52</v>
      </c>
      <c r="F97" s="227"/>
      <c r="G97" s="200"/>
      <c r="H97" s="34">
        <f t="shared" ref="H97:H104" si="19">ROUND(E97*G97,2)</f>
        <v>0</v>
      </c>
      <c r="I97" s="74"/>
      <c r="J97" s="70"/>
    </row>
    <row r="98" spans="1:10">
      <c r="A98" s="97">
        <f>'1.1 Vortriebsdauer Kalotte HR'!C11</f>
        <v>2</v>
      </c>
      <c r="B98" s="56" t="str">
        <f>'1.0a Rüstzeiten'!A8</f>
        <v>Rüsten Haupttunnel, Ausbruch KSG, mechan. Lösen</v>
      </c>
      <c r="C98" s="102" t="s">
        <v>49</v>
      </c>
      <c r="D98" s="252">
        <v>1</v>
      </c>
      <c r="E98" s="83">
        <f t="shared" si="18"/>
        <v>0.5</v>
      </c>
      <c r="F98" s="233" t="s">
        <v>211</v>
      </c>
      <c r="G98" s="30">
        <f>ROUND('1.0a Rüstzeiten'!G8*'1.0 Allgemeines'!F$42/24,2)</f>
        <v>0</v>
      </c>
      <c r="H98" s="74">
        <f t="shared" si="19"/>
        <v>0</v>
      </c>
      <c r="I98" s="74"/>
      <c r="J98" s="70"/>
    </row>
    <row r="99" spans="1:10">
      <c r="A99" s="79"/>
      <c r="B99" s="156" t="str">
        <f>'1.0a Rüstzeiten'!A17</f>
        <v>Rüsten Haupttunnel, Spritzbeton/Bewehrung KSG</v>
      </c>
      <c r="C99" s="255" t="s">
        <v>49</v>
      </c>
      <c r="D99" s="124">
        <v>1</v>
      </c>
      <c r="E99" s="99">
        <f t="shared" si="18"/>
        <v>0.5</v>
      </c>
      <c r="F99" s="259" t="s">
        <v>211</v>
      </c>
      <c r="G99" s="260">
        <f>ROUND('1.0a Rüstzeiten'!G17*'1.0 Allgemeines'!F$42/24,2)</f>
        <v>0</v>
      </c>
      <c r="H99" s="33">
        <f t="shared" si="19"/>
        <v>0</v>
      </c>
      <c r="I99" s="74"/>
      <c r="J99" s="70"/>
    </row>
    <row r="100" spans="1:10">
      <c r="A100" s="316"/>
      <c r="B100" s="72" t="s">
        <v>34</v>
      </c>
      <c r="C100" s="73" t="s">
        <v>6</v>
      </c>
      <c r="D100" s="91">
        <f>12.32*$A$98</f>
        <v>24.64</v>
      </c>
      <c r="E100" s="83">
        <f t="shared" si="18"/>
        <v>12.32</v>
      </c>
      <c r="F100" s="226" t="str">
        <f>"von "&amp;A66</f>
        <v>von Kalottensohle 7A.1 HR</v>
      </c>
      <c r="G100" s="70">
        <f>G69</f>
        <v>0</v>
      </c>
      <c r="H100" s="74">
        <f t="shared" si="19"/>
        <v>0</v>
      </c>
      <c r="I100" s="74"/>
      <c r="J100" s="70"/>
    </row>
    <row r="101" spans="1:10">
      <c r="A101" s="71"/>
      <c r="B101" s="72" t="s">
        <v>280</v>
      </c>
      <c r="C101" s="73" t="s">
        <v>379</v>
      </c>
      <c r="D101" s="91">
        <f>12.32*$A$98*5.38/1000</f>
        <v>0.13256319999999999</v>
      </c>
      <c r="E101" s="324">
        <f t="shared" si="18"/>
        <v>6.6281599999999996E-2</v>
      </c>
      <c r="F101" s="226" t="str">
        <f>"von "&amp;A66</f>
        <v>von Kalottensohle 7A.1 HR</v>
      </c>
      <c r="G101" s="70">
        <f>G70</f>
        <v>0</v>
      </c>
      <c r="H101" s="74">
        <f t="shared" si="19"/>
        <v>0</v>
      </c>
      <c r="I101" s="74"/>
      <c r="J101" s="70"/>
    </row>
    <row r="102" spans="1:10">
      <c r="A102" s="71"/>
      <c r="B102" s="72" t="s">
        <v>281</v>
      </c>
      <c r="C102" s="73" t="s">
        <v>379</v>
      </c>
      <c r="D102" s="91">
        <f>12.32*$A$98*5.38/1000</f>
        <v>0.13256319999999999</v>
      </c>
      <c r="E102" s="324">
        <f t="shared" si="18"/>
        <v>6.6281599999999996E-2</v>
      </c>
      <c r="F102" s="226" t="str">
        <f>"von "&amp;A66</f>
        <v>von Kalottensohle 7A.1 HR</v>
      </c>
      <c r="G102" s="70">
        <f>G71</f>
        <v>0</v>
      </c>
      <c r="H102" s="74">
        <f t="shared" si="19"/>
        <v>0</v>
      </c>
      <c r="I102" s="74"/>
      <c r="J102" s="70"/>
    </row>
    <row r="103" spans="1:10">
      <c r="A103" s="71"/>
      <c r="B103" s="72" t="s">
        <v>288</v>
      </c>
      <c r="C103" s="73" t="s">
        <v>7</v>
      </c>
      <c r="D103" s="91">
        <f>2*A98</f>
        <v>4</v>
      </c>
      <c r="E103" s="83">
        <f t="shared" si="18"/>
        <v>2</v>
      </c>
      <c r="F103" s="226" t="str">
        <f>"von "&amp;A$34</f>
        <v>von Kalottensohle 6A.2 HR</v>
      </c>
      <c r="G103" s="30">
        <f>G40</f>
        <v>0</v>
      </c>
      <c r="H103" s="69">
        <f t="shared" si="19"/>
        <v>0</v>
      </c>
      <c r="I103" s="74"/>
      <c r="J103" s="70"/>
    </row>
    <row r="104" spans="1:10">
      <c r="A104" s="71"/>
      <c r="B104" s="72" t="s">
        <v>13</v>
      </c>
      <c r="C104" s="73" t="s">
        <v>6</v>
      </c>
      <c r="D104" s="91">
        <v>10.52</v>
      </c>
      <c r="E104" s="83">
        <f t="shared" si="18"/>
        <v>5.26</v>
      </c>
      <c r="F104" s="226" t="str">
        <f>"von "&amp;A$34</f>
        <v>von Kalottensohle 6A.2 HR</v>
      </c>
      <c r="G104" s="70">
        <f>G41</f>
        <v>0</v>
      </c>
      <c r="H104" s="74">
        <f t="shared" si="19"/>
        <v>0</v>
      </c>
      <c r="I104" s="74"/>
      <c r="J104" s="70"/>
    </row>
    <row r="105" spans="1:10">
      <c r="A105" s="11"/>
      <c r="B105" s="77" t="s">
        <v>12</v>
      </c>
      <c r="C105" s="60"/>
      <c r="D105" s="95"/>
      <c r="E105" s="85"/>
      <c r="F105" s="228"/>
      <c r="G105" s="65"/>
      <c r="H105" s="35">
        <f>SUM(H97:H104)</f>
        <v>0</v>
      </c>
      <c r="I105" s="35">
        <f>'1.1 Vortriebsdauer Kalotte HR'!D11</f>
        <v>55.8</v>
      </c>
      <c r="J105" s="35">
        <f>H105*I105</f>
        <v>0</v>
      </c>
    </row>
    <row r="106" spans="1:10" ht="7.35" customHeight="1">
      <c r="A106" s="12"/>
      <c r="B106" s="58"/>
      <c r="C106" s="59"/>
      <c r="D106" s="95"/>
      <c r="E106" s="84"/>
      <c r="F106" s="227"/>
      <c r="G106" s="36"/>
      <c r="H106" s="34"/>
      <c r="I106" s="34"/>
      <c r="J106" s="34"/>
    </row>
    <row r="107" spans="1:10" ht="24">
      <c r="A107" s="78" t="s">
        <v>40</v>
      </c>
      <c r="B107" s="55" t="s">
        <v>286</v>
      </c>
      <c r="C107" s="60" t="s">
        <v>5</v>
      </c>
      <c r="D107" s="95">
        <f>71.58*$A$108*0.6</f>
        <v>42.948</v>
      </c>
      <c r="E107" s="85">
        <f t="shared" ref="E107:E123" si="20">D107/$A$108</f>
        <v>42.948</v>
      </c>
      <c r="F107" s="228"/>
      <c r="G107" s="197"/>
      <c r="H107" s="35">
        <f>ROUND(E107*G107,2)</f>
        <v>0</v>
      </c>
      <c r="I107" s="35"/>
      <c r="J107" s="65"/>
    </row>
    <row r="108" spans="1:10" ht="24">
      <c r="A108" s="97">
        <f>'1.1 Vortriebsdauer Kalotte HR'!C12</f>
        <v>1</v>
      </c>
      <c r="B108" s="155" t="s">
        <v>287</v>
      </c>
      <c r="C108" s="59" t="s">
        <v>5</v>
      </c>
      <c r="D108" s="95">
        <f>71.58*$A$108*0.4</f>
        <v>28.632000000000001</v>
      </c>
      <c r="E108" s="84">
        <f t="shared" si="20"/>
        <v>28.632000000000001</v>
      </c>
      <c r="F108" s="226"/>
      <c r="G108" s="195"/>
      <c r="H108" s="74">
        <f t="shared" ref="H108:H127" si="21">ROUND(E108*G108,2)</f>
        <v>0</v>
      </c>
      <c r="I108" s="74"/>
      <c r="J108" s="70"/>
    </row>
    <row r="109" spans="1:10">
      <c r="A109" s="97"/>
      <c r="B109" s="155" t="s">
        <v>104</v>
      </c>
      <c r="C109" s="59" t="s">
        <v>49</v>
      </c>
      <c r="D109" s="95">
        <v>7</v>
      </c>
      <c r="E109" s="84">
        <f t="shared" si="20"/>
        <v>7</v>
      </c>
      <c r="F109" s="265" t="str">
        <f>"von "&amp;A76</f>
        <v>von Kalotte 7A.2 HR</v>
      </c>
      <c r="G109" s="115">
        <f>G77</f>
        <v>0</v>
      </c>
      <c r="H109" s="33">
        <f t="shared" si="21"/>
        <v>0</v>
      </c>
      <c r="I109" s="74"/>
      <c r="J109" s="70"/>
    </row>
    <row r="110" spans="1:10">
      <c r="A110" s="97"/>
      <c r="B110" s="56" t="str">
        <f>'1.0a Rüstzeiten'!A5</f>
        <v>Rüsten Haupttunnel, Ausbruch Kalotte, sprengen</v>
      </c>
      <c r="C110" s="102" t="s">
        <v>49</v>
      </c>
      <c r="D110" s="252">
        <v>0.6</v>
      </c>
      <c r="E110" s="83">
        <f t="shared" si="20"/>
        <v>0.6</v>
      </c>
      <c r="F110" s="233" t="s">
        <v>211</v>
      </c>
      <c r="G110" s="104">
        <f>ROUND('1.0a Rüstzeiten'!G5*'1.0 Allgemeines'!F$43/24,2)</f>
        <v>0</v>
      </c>
      <c r="H110" s="121">
        <f t="shared" si="21"/>
        <v>0</v>
      </c>
      <c r="I110" s="74"/>
      <c r="J110" s="70"/>
    </row>
    <row r="111" spans="1:10">
      <c r="A111" s="97"/>
      <c r="B111" s="56" t="str">
        <f>'1.0a Rüstzeiten'!A6</f>
        <v>Rüsten Haupttunnel, Ausbruch Kalotte, mechan. Lösen</v>
      </c>
      <c r="C111" s="102" t="s">
        <v>49</v>
      </c>
      <c r="D111" s="252">
        <v>0.4</v>
      </c>
      <c r="E111" s="83">
        <f t="shared" si="20"/>
        <v>0.4</v>
      </c>
      <c r="F111" s="233" t="s">
        <v>211</v>
      </c>
      <c r="G111" s="104">
        <f>ROUND('1.0a Rüstzeiten'!G6*'1.0 Allgemeines'!F$43/24,2)</f>
        <v>0</v>
      </c>
      <c r="H111" s="121">
        <f t="shared" si="21"/>
        <v>0</v>
      </c>
      <c r="I111" s="74"/>
      <c r="J111" s="70"/>
    </row>
    <row r="112" spans="1:10">
      <c r="A112" s="97"/>
      <c r="B112" s="56" t="str">
        <f>'1.0a Rüstzeiten'!A16</f>
        <v>Rüsten Haupttunnel, Spritzbeton/Bewehrung Kalotte</v>
      </c>
      <c r="C112" s="102" t="s">
        <v>49</v>
      </c>
      <c r="D112" s="252">
        <v>1</v>
      </c>
      <c r="E112" s="83">
        <f t="shared" si="20"/>
        <v>1</v>
      </c>
      <c r="F112" s="233" t="s">
        <v>211</v>
      </c>
      <c r="G112" s="104">
        <f>ROUND('1.0a Rüstzeiten'!G16*'1.0 Allgemeines'!F$43/24,2)</f>
        <v>0</v>
      </c>
      <c r="H112" s="121">
        <f>ROUND(E112*G112,2)</f>
        <v>0</v>
      </c>
      <c r="I112" s="74"/>
      <c r="J112" s="70"/>
    </row>
    <row r="113" spans="1:10" ht="24">
      <c r="A113" s="97"/>
      <c r="B113" s="156" t="str">
        <f>'1.0a Rüstzeiten'!A22</f>
        <v>Rüsten Haupttunnel, Ankern und Spießen Kalotte
(ggf. inkl. Rohrschirm)</v>
      </c>
      <c r="C113" s="255" t="s">
        <v>49</v>
      </c>
      <c r="D113" s="124">
        <v>1</v>
      </c>
      <c r="E113" s="99">
        <f t="shared" si="20"/>
        <v>1</v>
      </c>
      <c r="F113" s="259" t="s">
        <v>211</v>
      </c>
      <c r="G113" s="105">
        <f>ROUND('1.0a Rüstzeiten'!G22*'1.0 Allgemeines'!F$43/24,2)</f>
        <v>0</v>
      </c>
      <c r="H113" s="166">
        <f>ROUND(E113*G113,2)</f>
        <v>0</v>
      </c>
      <c r="I113" s="74"/>
      <c r="J113" s="70"/>
    </row>
    <row r="114" spans="1:10">
      <c r="A114" s="71"/>
      <c r="B114" s="72" t="s">
        <v>45</v>
      </c>
      <c r="C114" s="73" t="s">
        <v>7</v>
      </c>
      <c r="D114" s="91">
        <f>15*41/11</f>
        <v>55.909090909090907</v>
      </c>
      <c r="E114" s="83">
        <f t="shared" si="20"/>
        <v>55.909090909090907</v>
      </c>
      <c r="F114" s="226"/>
      <c r="G114" s="195"/>
      <c r="H114" s="74">
        <f t="shared" si="21"/>
        <v>0</v>
      </c>
      <c r="I114" s="74"/>
      <c r="J114" s="70"/>
    </row>
    <row r="115" spans="1:10">
      <c r="A115" s="76"/>
      <c r="B115" s="72" t="s">
        <v>31</v>
      </c>
      <c r="C115" s="73" t="s">
        <v>6</v>
      </c>
      <c r="D115" s="91">
        <f>20.06*$A$108</f>
        <v>20.059999999999999</v>
      </c>
      <c r="E115" s="83">
        <f t="shared" si="20"/>
        <v>20.059999999999999</v>
      </c>
      <c r="F115" s="226" t="str">
        <f>"von "&amp;A76</f>
        <v>von Kalotte 7A.2 HR</v>
      </c>
      <c r="G115" s="70">
        <f>G83</f>
        <v>0</v>
      </c>
      <c r="H115" s="74">
        <f t="shared" si="21"/>
        <v>0</v>
      </c>
      <c r="I115" s="74"/>
      <c r="J115" s="70"/>
    </row>
    <row r="116" spans="1:10">
      <c r="A116" s="76"/>
      <c r="B116" s="72" t="s">
        <v>382</v>
      </c>
      <c r="C116" s="73" t="s">
        <v>5</v>
      </c>
      <c r="D116" s="91">
        <f>(71.58-60.81)*11/11</f>
        <v>10.769999999999996</v>
      </c>
      <c r="E116" s="83">
        <f t="shared" si="20"/>
        <v>10.769999999999996</v>
      </c>
      <c r="F116" s="226"/>
      <c r="G116" s="195"/>
      <c r="H116" s="74">
        <f t="shared" ref="H116" si="22">ROUND(E116*G116,2)</f>
        <v>0</v>
      </c>
      <c r="I116" s="74"/>
      <c r="J116" s="70"/>
    </row>
    <row r="117" spans="1:10">
      <c r="A117" s="71"/>
      <c r="B117" s="72" t="s">
        <v>380</v>
      </c>
      <c r="C117" s="73" t="s">
        <v>379</v>
      </c>
      <c r="D117" s="91">
        <f>20.06*5.38/1000</f>
        <v>0.1079228</v>
      </c>
      <c r="E117" s="324">
        <f t="shared" si="20"/>
        <v>0.1079228</v>
      </c>
      <c r="F117" s="226" t="str">
        <f>"von "&amp;A$44</f>
        <v>von Kalotte 7A.1 HR</v>
      </c>
      <c r="G117" s="70">
        <f>G53</f>
        <v>0</v>
      </c>
      <c r="H117" s="74">
        <f t="shared" si="21"/>
        <v>0</v>
      </c>
      <c r="I117" s="74"/>
      <c r="J117" s="70"/>
    </row>
    <row r="118" spans="1:10">
      <c r="A118" s="71"/>
      <c r="B118" s="72" t="s">
        <v>381</v>
      </c>
      <c r="C118" s="73" t="s">
        <v>379</v>
      </c>
      <c r="D118" s="91">
        <f>20.06*5.38/1000</f>
        <v>0.1079228</v>
      </c>
      <c r="E118" s="324">
        <f t="shared" si="20"/>
        <v>0.1079228</v>
      </c>
      <c r="F118" s="226" t="str">
        <f>"von "&amp;A$44</f>
        <v>von Kalotte 7A.1 HR</v>
      </c>
      <c r="G118" s="70">
        <f>G54</f>
        <v>0</v>
      </c>
      <c r="H118" s="69">
        <f t="shared" si="21"/>
        <v>0</v>
      </c>
      <c r="I118" s="74"/>
      <c r="J118" s="70"/>
    </row>
    <row r="119" spans="1:10">
      <c r="A119" s="71"/>
      <c r="B119" s="72" t="s">
        <v>101</v>
      </c>
      <c r="C119" s="73" t="s">
        <v>7</v>
      </c>
      <c r="D119" s="91">
        <f>2*A108</f>
        <v>2</v>
      </c>
      <c r="E119" s="83">
        <f t="shared" si="20"/>
        <v>2</v>
      </c>
      <c r="F119" s="226" t="str">
        <f>"von "&amp;A$44</f>
        <v>von Kalotte 7A.1 HR</v>
      </c>
      <c r="G119" s="70">
        <f>G55</f>
        <v>0</v>
      </c>
      <c r="H119" s="74">
        <f t="shared" si="21"/>
        <v>0</v>
      </c>
      <c r="I119" s="74"/>
      <c r="J119" s="70"/>
    </row>
    <row r="120" spans="1:10">
      <c r="A120" s="71"/>
      <c r="B120" s="72" t="s">
        <v>32</v>
      </c>
      <c r="C120" s="73" t="s">
        <v>379</v>
      </c>
      <c r="D120" s="91">
        <f>20.79*12.9/1000</f>
        <v>0.26819099999999996</v>
      </c>
      <c r="E120" s="324">
        <f t="shared" si="20"/>
        <v>0.26819099999999996</v>
      </c>
      <c r="F120" s="226" t="str">
        <f>"von "&amp;A$44</f>
        <v>von Kalotte 7A.1 HR</v>
      </c>
      <c r="G120" s="70">
        <f>G56</f>
        <v>0</v>
      </c>
      <c r="H120" s="74">
        <f t="shared" si="21"/>
        <v>0</v>
      </c>
      <c r="I120" s="74"/>
      <c r="J120" s="70"/>
    </row>
    <row r="121" spans="1:10">
      <c r="A121" s="71"/>
      <c r="B121" s="72" t="s">
        <v>25</v>
      </c>
      <c r="C121" s="73" t="s">
        <v>49</v>
      </c>
      <c r="D121" s="91">
        <f>4</f>
        <v>4</v>
      </c>
      <c r="E121" s="83">
        <f t="shared" si="20"/>
        <v>4</v>
      </c>
      <c r="F121" s="226" t="str">
        <f>"von "&amp;A76</f>
        <v>von Kalotte 7A.2 HR</v>
      </c>
      <c r="G121" s="70">
        <f>G88</f>
        <v>0</v>
      </c>
      <c r="H121" s="74">
        <f t="shared" si="21"/>
        <v>0</v>
      </c>
      <c r="I121" s="74"/>
      <c r="J121" s="70"/>
    </row>
    <row r="122" spans="1:10">
      <c r="A122" s="71"/>
      <c r="B122" s="72" t="s">
        <v>82</v>
      </c>
      <c r="C122" s="73" t="s">
        <v>6</v>
      </c>
      <c r="D122" s="91">
        <f>(82.1-10.52)</f>
        <v>71.58</v>
      </c>
      <c r="E122" s="83">
        <f t="shared" si="20"/>
        <v>71.58</v>
      </c>
      <c r="F122" s="226" t="str">
        <f t="shared" ref="F122:F127" si="23">"von "&amp;A$44</f>
        <v>von Kalotte 7A.1 HR</v>
      </c>
      <c r="G122" s="70">
        <f t="shared" ref="G122:G127" si="24">G58</f>
        <v>0</v>
      </c>
      <c r="H122" s="74">
        <f t="shared" si="21"/>
        <v>0</v>
      </c>
      <c r="I122" s="74"/>
      <c r="J122" s="70"/>
    </row>
    <row r="123" spans="1:10">
      <c r="A123" s="71"/>
      <c r="B123" s="72" t="s">
        <v>15</v>
      </c>
      <c r="C123" s="73" t="s">
        <v>379</v>
      </c>
      <c r="D123" s="91">
        <f>(82.1-10.52)*3.02/1000</f>
        <v>0.21617159999999999</v>
      </c>
      <c r="E123" s="324">
        <f t="shared" si="20"/>
        <v>0.21617159999999999</v>
      </c>
      <c r="F123" s="226" t="str">
        <f t="shared" si="23"/>
        <v>von Kalotte 7A.1 HR</v>
      </c>
      <c r="G123" s="70">
        <f t="shared" si="24"/>
        <v>0</v>
      </c>
      <c r="H123" s="74">
        <f t="shared" si="21"/>
        <v>0</v>
      </c>
      <c r="I123" s="74"/>
      <c r="J123" s="70"/>
    </row>
    <row r="124" spans="1:10">
      <c r="A124" s="71"/>
      <c r="B124" s="72" t="s">
        <v>80</v>
      </c>
      <c r="C124" s="73" t="s">
        <v>49</v>
      </c>
      <c r="D124" s="91">
        <f>8/8*$A$108</f>
        <v>1</v>
      </c>
      <c r="E124" s="83">
        <f>D124/$A$77</f>
        <v>1</v>
      </c>
      <c r="F124" s="226" t="str">
        <f t="shared" si="23"/>
        <v>von Kalotte 7A.1 HR</v>
      </c>
      <c r="G124" s="70">
        <f t="shared" si="24"/>
        <v>0</v>
      </c>
      <c r="H124" s="74">
        <f t="shared" si="21"/>
        <v>0</v>
      </c>
      <c r="I124" s="74"/>
      <c r="J124" s="70"/>
    </row>
    <row r="125" spans="1:10" ht="24">
      <c r="A125" s="71"/>
      <c r="B125" s="56" t="s">
        <v>81</v>
      </c>
      <c r="C125" s="73" t="s">
        <v>49</v>
      </c>
      <c r="D125" s="91">
        <f>8*12/8</f>
        <v>12</v>
      </c>
      <c r="E125" s="83">
        <f>D125/$A$77</f>
        <v>12</v>
      </c>
      <c r="F125" s="226" t="str">
        <f t="shared" si="23"/>
        <v>von Kalotte 7A.1 HR</v>
      </c>
      <c r="G125" s="70">
        <f t="shared" si="24"/>
        <v>0</v>
      </c>
      <c r="H125" s="74">
        <f t="shared" si="21"/>
        <v>0</v>
      </c>
      <c r="I125" s="74"/>
      <c r="J125" s="70"/>
    </row>
    <row r="126" spans="1:10">
      <c r="A126" s="71"/>
      <c r="B126" s="56" t="s">
        <v>383</v>
      </c>
      <c r="C126" s="73" t="s">
        <v>5</v>
      </c>
      <c r="D126" s="91">
        <f>0.76</f>
        <v>0.76</v>
      </c>
      <c r="E126" s="83">
        <f>D126/$A$108</f>
        <v>0.76</v>
      </c>
      <c r="F126" s="226" t="str">
        <f t="shared" si="23"/>
        <v>von Kalotte 7A.1 HR</v>
      </c>
      <c r="G126" s="70">
        <f t="shared" si="24"/>
        <v>0</v>
      </c>
      <c r="H126" s="74">
        <f t="shared" ref="H126" si="25">ROUND(E126*G126,2)</f>
        <v>0</v>
      </c>
      <c r="I126" s="74"/>
      <c r="J126" s="70"/>
    </row>
    <row r="127" spans="1:10">
      <c r="A127" s="71"/>
      <c r="B127" s="72" t="s">
        <v>33</v>
      </c>
      <c r="C127" s="73" t="s">
        <v>5</v>
      </c>
      <c r="D127" s="91">
        <f>0.76</f>
        <v>0.76</v>
      </c>
      <c r="E127" s="83">
        <f>D127/$A$108</f>
        <v>0.76</v>
      </c>
      <c r="F127" s="226" t="str">
        <f t="shared" si="23"/>
        <v>von Kalotte 7A.1 HR</v>
      </c>
      <c r="G127" s="70">
        <f t="shared" si="24"/>
        <v>0</v>
      </c>
      <c r="H127" s="74">
        <f t="shared" si="21"/>
        <v>0</v>
      </c>
      <c r="I127" s="74"/>
      <c r="J127" s="70"/>
    </row>
    <row r="128" spans="1:10">
      <c r="A128" s="11"/>
      <c r="B128" s="77" t="s">
        <v>12</v>
      </c>
      <c r="C128" s="60"/>
      <c r="D128" s="95"/>
      <c r="E128" s="85"/>
      <c r="F128" s="228"/>
      <c r="G128" s="65"/>
      <c r="H128" s="35">
        <f>SUM(H107:H127)</f>
        <v>0</v>
      </c>
      <c r="I128" s="35">
        <f>'1.1 Vortriebsdauer Kalotte HR'!D12</f>
        <v>110.19999999999999</v>
      </c>
      <c r="J128" s="35">
        <f>H128*I128</f>
        <v>0</v>
      </c>
    </row>
    <row r="129" spans="1:13" ht="7.15" customHeight="1">
      <c r="A129" s="12"/>
      <c r="B129" s="58"/>
      <c r="C129" s="59"/>
      <c r="D129" s="95"/>
      <c r="E129" s="84"/>
      <c r="F129" s="227"/>
      <c r="G129" s="36"/>
      <c r="H129" s="34"/>
      <c r="I129" s="34"/>
      <c r="J129" s="36"/>
    </row>
    <row r="130" spans="1:13" ht="36">
      <c r="A130" s="78" t="s">
        <v>39</v>
      </c>
      <c r="B130" s="155" t="s">
        <v>397</v>
      </c>
      <c r="C130" s="59" t="s">
        <v>5</v>
      </c>
      <c r="D130" s="95">
        <f>(10.52)*$A$131*0.6</f>
        <v>12.623999999999999</v>
      </c>
      <c r="E130" s="84">
        <f t="shared" ref="E130:E139" si="26">D130/$A$131</f>
        <v>6.3119999999999994</v>
      </c>
      <c r="F130" s="228"/>
      <c r="G130" s="197"/>
      <c r="H130" s="35">
        <f>ROUND(E130*G130,2)</f>
        <v>0</v>
      </c>
      <c r="I130" s="35"/>
      <c r="J130" s="65"/>
    </row>
    <row r="131" spans="1:13" ht="36">
      <c r="A131" s="97">
        <f>'1.1 Vortriebsdauer Kalotte HR'!C13</f>
        <v>2</v>
      </c>
      <c r="B131" s="155" t="s">
        <v>398</v>
      </c>
      <c r="C131" s="59" t="s">
        <v>5</v>
      </c>
      <c r="D131" s="95">
        <f>(10.52)*$A$131*0.4</f>
        <v>8.4160000000000004</v>
      </c>
      <c r="E131" s="84">
        <f t="shared" si="26"/>
        <v>4.2080000000000002</v>
      </c>
      <c r="F131" s="265"/>
      <c r="G131" s="201"/>
      <c r="H131" s="33">
        <f t="shared" ref="H131:H139" si="27">ROUND(E131*G131,2)</f>
        <v>0</v>
      </c>
      <c r="I131" s="74"/>
      <c r="J131" s="70"/>
    </row>
    <row r="132" spans="1:13">
      <c r="A132" s="97"/>
      <c r="B132" s="56" t="str">
        <f>'1.0a Rüstzeiten'!A7</f>
        <v>Rüsten Haupttunnel, Ausbruch KSG, sprengen</v>
      </c>
      <c r="C132" s="102" t="s">
        <v>49</v>
      </c>
      <c r="D132" s="252">
        <v>0.6</v>
      </c>
      <c r="E132" s="83">
        <f>D132/$A$131</f>
        <v>0.3</v>
      </c>
      <c r="F132" s="233" t="s">
        <v>211</v>
      </c>
      <c r="G132" s="30">
        <f>ROUND('1.0a Rüstzeiten'!G7*'1.0 Allgemeines'!F$44/24,2)</f>
        <v>0</v>
      </c>
      <c r="H132" s="74">
        <f t="shared" si="27"/>
        <v>0</v>
      </c>
      <c r="I132" s="74"/>
      <c r="J132" s="70"/>
    </row>
    <row r="133" spans="1:13">
      <c r="A133" s="97"/>
      <c r="B133" s="56" t="str">
        <f>'1.0a Rüstzeiten'!A8</f>
        <v>Rüsten Haupttunnel, Ausbruch KSG, mechan. Lösen</v>
      </c>
      <c r="C133" s="102" t="s">
        <v>49</v>
      </c>
      <c r="D133" s="252">
        <v>0.4</v>
      </c>
      <c r="E133" s="83">
        <f>D133/$A$131</f>
        <v>0.2</v>
      </c>
      <c r="F133" s="233" t="s">
        <v>211</v>
      </c>
      <c r="G133" s="30">
        <f>ROUND('1.0a Rüstzeiten'!G8*'1.0 Allgemeines'!F$44/24,2)</f>
        <v>0</v>
      </c>
      <c r="H133" s="74">
        <f>ROUND(E133*G133,2)</f>
        <v>0</v>
      </c>
      <c r="I133" s="74"/>
      <c r="J133" s="70"/>
    </row>
    <row r="134" spans="1:13">
      <c r="A134" s="97"/>
      <c r="B134" s="156" t="str">
        <f>'1.0a Rüstzeiten'!A17</f>
        <v>Rüsten Haupttunnel, Spritzbeton/Bewehrung KSG</v>
      </c>
      <c r="C134" s="255" t="s">
        <v>49</v>
      </c>
      <c r="D134" s="124">
        <v>1</v>
      </c>
      <c r="E134" s="99">
        <f>D134/$A$131</f>
        <v>0.5</v>
      </c>
      <c r="F134" s="259" t="s">
        <v>211</v>
      </c>
      <c r="G134" s="260">
        <f>ROUND('1.0a Rüstzeiten'!G17*'1.0 Allgemeines'!F$44/24,2)</f>
        <v>0</v>
      </c>
      <c r="H134" s="33">
        <f>ROUND(E134*G134,2)</f>
        <v>0</v>
      </c>
      <c r="I134" s="74"/>
      <c r="J134" s="70"/>
    </row>
    <row r="135" spans="1:13">
      <c r="A135" s="71"/>
      <c r="B135" s="72" t="s">
        <v>34</v>
      </c>
      <c r="C135" s="73" t="s">
        <v>6</v>
      </c>
      <c r="D135" s="91">
        <f>13.14*$A$131</f>
        <v>26.28</v>
      </c>
      <c r="E135" s="83">
        <f t="shared" si="26"/>
        <v>13.14</v>
      </c>
      <c r="F135" s="226" t="str">
        <f>"von "&amp;A66</f>
        <v>von Kalottensohle 7A.1 HR</v>
      </c>
      <c r="G135" s="70">
        <f>G69</f>
        <v>0</v>
      </c>
      <c r="H135" s="74">
        <f t="shared" si="27"/>
        <v>0</v>
      </c>
      <c r="I135" s="74"/>
      <c r="J135" s="70"/>
    </row>
    <row r="136" spans="1:13">
      <c r="A136" s="71"/>
      <c r="B136" s="72" t="s">
        <v>280</v>
      </c>
      <c r="C136" s="73" t="s">
        <v>379</v>
      </c>
      <c r="D136" s="91">
        <f>13.14*$A$131*5.38/1000</f>
        <v>0.1413864</v>
      </c>
      <c r="E136" s="324">
        <f t="shared" si="26"/>
        <v>7.0693199999999998E-2</v>
      </c>
      <c r="F136" s="226" t="str">
        <f>"von "&amp;A66</f>
        <v>von Kalottensohle 7A.1 HR</v>
      </c>
      <c r="G136" s="70">
        <f>G70</f>
        <v>0</v>
      </c>
      <c r="H136" s="74">
        <f t="shared" si="27"/>
        <v>0</v>
      </c>
      <c r="I136" s="74"/>
      <c r="J136" s="70"/>
    </row>
    <row r="137" spans="1:13">
      <c r="A137" s="71"/>
      <c r="B137" s="72" t="s">
        <v>281</v>
      </c>
      <c r="C137" s="73" t="s">
        <v>379</v>
      </c>
      <c r="D137" s="91">
        <f>13.14*$A$131*5.38/1000</f>
        <v>0.1413864</v>
      </c>
      <c r="E137" s="324">
        <f t="shared" si="26"/>
        <v>7.0693199999999998E-2</v>
      </c>
      <c r="F137" s="226" t="str">
        <f>"von "&amp;A66</f>
        <v>von Kalottensohle 7A.1 HR</v>
      </c>
      <c r="G137" s="70">
        <f>G71</f>
        <v>0</v>
      </c>
      <c r="H137" s="74">
        <f t="shared" si="27"/>
        <v>0</v>
      </c>
      <c r="I137" s="74"/>
      <c r="J137" s="70"/>
    </row>
    <row r="138" spans="1:13">
      <c r="A138" s="71"/>
      <c r="B138" s="72" t="s">
        <v>288</v>
      </c>
      <c r="C138" s="73" t="s">
        <v>7</v>
      </c>
      <c r="D138" s="91">
        <f>2*A131</f>
        <v>4</v>
      </c>
      <c r="E138" s="83">
        <f>D138/$A$131</f>
        <v>2</v>
      </c>
      <c r="F138" s="226" t="str">
        <f>"von "&amp;A$34</f>
        <v>von Kalottensohle 6A.2 HR</v>
      </c>
      <c r="G138" s="30">
        <f>G40</f>
        <v>0</v>
      </c>
      <c r="H138" s="69">
        <f t="shared" si="27"/>
        <v>0</v>
      </c>
      <c r="I138" s="74"/>
      <c r="J138" s="70"/>
    </row>
    <row r="139" spans="1:13">
      <c r="A139" s="71"/>
      <c r="B139" s="72" t="s">
        <v>13</v>
      </c>
      <c r="C139" s="73" t="s">
        <v>6</v>
      </c>
      <c r="D139" s="91">
        <f>(10.52)</f>
        <v>10.52</v>
      </c>
      <c r="E139" s="83">
        <f t="shared" si="26"/>
        <v>5.26</v>
      </c>
      <c r="F139" s="226" t="str">
        <f>"von "&amp;A$34</f>
        <v>von Kalottensohle 6A.2 HR</v>
      </c>
      <c r="G139" s="70">
        <f>G41</f>
        <v>0</v>
      </c>
      <c r="H139" s="74">
        <f t="shared" si="27"/>
        <v>0</v>
      </c>
      <c r="I139" s="74"/>
      <c r="J139" s="70"/>
    </row>
    <row r="140" spans="1:13">
      <c r="A140" s="12"/>
      <c r="B140" s="58" t="s">
        <v>12</v>
      </c>
      <c r="C140" s="59"/>
      <c r="D140" s="95"/>
      <c r="E140" s="84"/>
      <c r="F140" s="227"/>
      <c r="G140" s="36"/>
      <c r="H140" s="34">
        <f>SUM(H130:H139)</f>
        <v>0</v>
      </c>
      <c r="I140" s="35">
        <f>'1.1 Vortriebsdauer Kalotte HR'!D13</f>
        <v>110.19999999999999</v>
      </c>
      <c r="J140" s="34">
        <f>H140*I140</f>
        <v>0</v>
      </c>
    </row>
    <row r="141" spans="1:13" ht="11.25" customHeight="1">
      <c r="A141" s="389" t="s">
        <v>223</v>
      </c>
      <c r="B141" s="390"/>
      <c r="C141" s="62"/>
      <c r="D141" s="130"/>
      <c r="E141" s="86"/>
      <c r="F141" s="229"/>
      <c r="G141" s="51"/>
      <c r="H141" s="51"/>
      <c r="I141" s="51"/>
      <c r="J141" s="52"/>
    </row>
    <row r="142" spans="1:13" ht="18" customHeight="1">
      <c r="A142" s="391"/>
      <c r="B142" s="392"/>
      <c r="C142" s="63"/>
      <c r="D142" s="131"/>
      <c r="E142" s="87"/>
      <c r="F142" s="230"/>
      <c r="G142" s="39"/>
      <c r="H142" s="39"/>
      <c r="I142" s="39"/>
      <c r="J142" s="98">
        <f>SUM(J4:J140)</f>
        <v>0</v>
      </c>
      <c r="M142" s="37"/>
    </row>
    <row r="144" spans="1:13" ht="57" customHeight="1">
      <c r="A144" s="393" t="s">
        <v>363</v>
      </c>
      <c r="B144" s="393"/>
      <c r="C144" s="393"/>
      <c r="D144" s="393"/>
      <c r="E144" s="393"/>
      <c r="F144" s="393"/>
      <c r="G144" s="393"/>
      <c r="H144" s="393"/>
      <c r="I144" s="393"/>
      <c r="J144" s="393"/>
    </row>
  </sheetData>
  <sheetProtection algorithmName="SHA-512" hashValue="3nBAvODl+1LMw3JPbwIzrqw2/j/76q4lu77GThtWdDv8nyjLrP6gVBPzeGRjK3Uxk2Z9zk7ayBcHjN7/lvuaMQ==" saltValue="q1c8e/rwqTZg6p+xnGMHyw==" spinCount="100000" sheet="1" objects="1" scenarios="1"/>
  <autoFilter ref="A3:J144" xr:uid="{A3B18A95-547A-4487-8C1B-39B674B23D7F}"/>
  <mergeCells count="4">
    <mergeCell ref="A2:E2"/>
    <mergeCell ref="G2:J2"/>
    <mergeCell ref="A141:B142"/>
    <mergeCell ref="A144:J144"/>
  </mergeCells>
  <phoneticPr fontId="11" type="noConversion"/>
  <conditionalFormatting sqref="A4:J140">
    <cfRule type="expression" dxfId="74" priority="3">
      <formula>CELL("Schutz",A4)=0</formula>
    </cfRule>
  </conditionalFormatting>
  <conditionalFormatting sqref="C3:E3">
    <cfRule type="expression" dxfId="73" priority="1">
      <formula>CELL("Schutz",C3)=0</formula>
    </cfRule>
  </conditionalFormatting>
  <dataValidations count="1">
    <dataValidation type="custom" errorStyle="warning" allowBlank="1" showInputMessage="1" showErrorMessage="1" error="Nur zwei Nachkommastellen zulässig!" sqref="G4:G140" xr:uid="{170CECB2-AFF9-43AF-AFB0-FAFE09170107}">
      <formula1>MOD(G4*(10^2),1)&lt;(10^-10)</formula1>
    </dataValidation>
  </dataValidations>
  <pageMargins left="0.70866141732283472" right="0.70866141732283472" top="0.78740157480314965" bottom="0.78740157480314965" header="0.31496062992125984" footer="0.31496062992125984"/>
  <pageSetup paperSize="9" scale="72" fitToHeight="0" orientation="landscape" useFirstPageNumber="1" r:id="rId1"/>
  <headerFooter>
    <oddHeader>&amp;L&amp;"Arial,Fett"&amp;10Bieterangaben zeitgebundene Kosten Tunnel Kauerndorf
Unterlage 01.03-1.2 Ermittlung der Lohnstunden Kalotte Hauptröhre
&amp;R&amp;9...................................................
Bieter</oddHeader>
    <oddFooter>&amp;R&amp;9&amp;A
Blattseite &amp;P</oddFooter>
  </headerFooter>
  <rowBreaks count="4" manualBreakCount="4">
    <brk id="43" max="9" man="1"/>
    <brk id="75" max="9" man="1"/>
    <brk id="106" max="9" man="1"/>
    <brk id="129" max="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BE748-38E6-4E13-AC04-FCE8424BF329}">
  <sheetPr>
    <tabColor theme="9" tint="0.39997558519241921"/>
    <pageSetUpPr fitToPage="1"/>
  </sheetPr>
  <dimension ref="A2:F17"/>
  <sheetViews>
    <sheetView showGridLines="0" zoomScaleNormal="100" zoomScaleSheetLayoutView="100" workbookViewId="0">
      <selection activeCell="A10" sqref="A10:F10"/>
    </sheetView>
  </sheetViews>
  <sheetFormatPr baseColWidth="10" defaultColWidth="11.25" defaultRowHeight="14.25"/>
  <cols>
    <col min="1" max="1" width="12.875" customWidth="1"/>
    <col min="2" max="2" width="46.875" style="64" customWidth="1"/>
    <col min="3" max="3" width="7.875" style="64" customWidth="1"/>
    <col min="4" max="4" width="10.875" style="64" customWidth="1"/>
    <col min="5" max="5" width="17" style="101" customWidth="1"/>
    <col min="6" max="6" width="12.375" style="88" customWidth="1"/>
    <col min="7" max="7" width="2.125" customWidth="1"/>
  </cols>
  <sheetData>
    <row r="2" spans="1:6">
      <c r="A2" s="394"/>
      <c r="B2" s="395"/>
      <c r="C2" s="395"/>
      <c r="D2" s="396"/>
      <c r="E2" s="397" t="s">
        <v>0</v>
      </c>
      <c r="F2" s="398"/>
    </row>
    <row r="3" spans="1:6" ht="69">
      <c r="A3" s="53" t="s">
        <v>358</v>
      </c>
      <c r="B3" s="53" t="s">
        <v>8</v>
      </c>
      <c r="C3" s="53" t="s">
        <v>4</v>
      </c>
      <c r="D3" s="54" t="s">
        <v>48</v>
      </c>
      <c r="E3" s="31" t="s">
        <v>360</v>
      </c>
      <c r="F3" s="310" t="s">
        <v>359</v>
      </c>
    </row>
    <row r="4" spans="1:6">
      <c r="A4" s="318" t="s">
        <v>347</v>
      </c>
      <c r="B4" s="61" t="s">
        <v>51</v>
      </c>
      <c r="C4" s="60" t="s">
        <v>50</v>
      </c>
      <c r="D4" s="85">
        <v>200</v>
      </c>
      <c r="E4" s="198"/>
      <c r="F4" s="85">
        <f>ROUND(D4*E4,2)</f>
        <v>0</v>
      </c>
    </row>
    <row r="5" spans="1:6">
      <c r="A5" s="75" t="s">
        <v>350</v>
      </c>
      <c r="B5" s="72" t="s">
        <v>55</v>
      </c>
      <c r="C5" s="102" t="s">
        <v>50</v>
      </c>
      <c r="D5" s="83">
        <v>8569</v>
      </c>
      <c r="E5" s="309"/>
      <c r="F5" s="83">
        <f t="shared" ref="F5:F16" si="0">ROUND(D5*E5,2)</f>
        <v>0</v>
      </c>
    </row>
    <row r="6" spans="1:6">
      <c r="A6" s="75" t="s">
        <v>351</v>
      </c>
      <c r="B6" s="72" t="s">
        <v>52</v>
      </c>
      <c r="C6" s="73" t="s">
        <v>50</v>
      </c>
      <c r="D6" s="83">
        <v>2142</v>
      </c>
      <c r="E6" s="309"/>
      <c r="F6" s="83">
        <f t="shared" si="0"/>
        <v>0</v>
      </c>
    </row>
    <row r="7" spans="1:6">
      <c r="A7" s="75" t="s">
        <v>355</v>
      </c>
      <c r="B7" s="72" t="s">
        <v>377</v>
      </c>
      <c r="C7" s="102" t="s">
        <v>7</v>
      </c>
      <c r="D7" s="83">
        <v>500</v>
      </c>
      <c r="E7" s="196"/>
      <c r="F7" s="83">
        <f t="shared" si="0"/>
        <v>0</v>
      </c>
    </row>
    <row r="8" spans="1:6">
      <c r="A8" s="75" t="s">
        <v>356</v>
      </c>
      <c r="B8" s="72" t="s">
        <v>378</v>
      </c>
      <c r="C8" s="102" t="s">
        <v>7</v>
      </c>
      <c r="D8" s="83">
        <v>200</v>
      </c>
      <c r="E8" s="196"/>
      <c r="F8" s="83">
        <f t="shared" si="0"/>
        <v>0</v>
      </c>
    </row>
    <row r="9" spans="1:6">
      <c r="A9" s="75" t="s">
        <v>352</v>
      </c>
      <c r="B9" s="72" t="s">
        <v>318</v>
      </c>
      <c r="C9" s="102" t="s">
        <v>49</v>
      </c>
      <c r="D9" s="83">
        <v>1</v>
      </c>
      <c r="E9" s="196"/>
      <c r="F9" s="83">
        <f t="shared" si="0"/>
        <v>0</v>
      </c>
    </row>
    <row r="10" spans="1:6">
      <c r="A10" s="75" t="s">
        <v>353</v>
      </c>
      <c r="B10" s="72" t="s">
        <v>317</v>
      </c>
      <c r="C10" s="102" t="s">
        <v>49</v>
      </c>
      <c r="D10" s="83">
        <v>1</v>
      </c>
      <c r="E10" s="196"/>
      <c r="F10" s="83">
        <f t="shared" si="0"/>
        <v>0</v>
      </c>
    </row>
    <row r="11" spans="1:6">
      <c r="A11" s="75" t="s">
        <v>349</v>
      </c>
      <c r="B11" s="72" t="s">
        <v>54</v>
      </c>
      <c r="C11" s="73" t="s">
        <v>49</v>
      </c>
      <c r="D11" s="83">
        <v>3</v>
      </c>
      <c r="E11" s="196"/>
      <c r="F11" s="83">
        <f t="shared" si="0"/>
        <v>0</v>
      </c>
    </row>
    <row r="12" spans="1:6">
      <c r="A12" s="72" t="s">
        <v>348</v>
      </c>
      <c r="B12" s="72" t="s">
        <v>53</v>
      </c>
      <c r="C12" s="73" t="s">
        <v>49</v>
      </c>
      <c r="D12" s="83">
        <v>45</v>
      </c>
      <c r="E12" s="196"/>
      <c r="F12" s="83">
        <f t="shared" si="0"/>
        <v>0</v>
      </c>
    </row>
    <row r="13" spans="1:6" s="64" customFormat="1">
      <c r="A13" s="308" t="s">
        <v>376</v>
      </c>
      <c r="B13" s="72" t="s">
        <v>257</v>
      </c>
      <c r="C13" s="73" t="s">
        <v>49</v>
      </c>
      <c r="D13" s="83">
        <v>2</v>
      </c>
      <c r="E13" s="196"/>
      <c r="F13" s="83">
        <f t="shared" si="0"/>
        <v>0</v>
      </c>
    </row>
    <row r="14" spans="1:6">
      <c r="A14" s="75" t="s">
        <v>357</v>
      </c>
      <c r="B14" s="72" t="s">
        <v>129</v>
      </c>
      <c r="C14" s="73" t="s">
        <v>49</v>
      </c>
      <c r="D14" s="83">
        <v>11</v>
      </c>
      <c r="E14" s="196"/>
      <c r="F14" s="83">
        <f t="shared" si="0"/>
        <v>0</v>
      </c>
    </row>
    <row r="15" spans="1:6">
      <c r="A15" s="75" t="s">
        <v>354</v>
      </c>
      <c r="B15" s="72" t="s">
        <v>289</v>
      </c>
      <c r="C15" s="73" t="s">
        <v>49</v>
      </c>
      <c r="D15" s="83">
        <v>150</v>
      </c>
      <c r="E15" s="196"/>
      <c r="F15" s="83">
        <f t="shared" si="0"/>
        <v>0</v>
      </c>
    </row>
    <row r="16" spans="1:6" ht="24">
      <c r="A16" s="307" t="s">
        <v>375</v>
      </c>
      <c r="B16" s="72" t="s">
        <v>321</v>
      </c>
      <c r="C16" s="73" t="s">
        <v>49</v>
      </c>
      <c r="D16" s="83">
        <v>2</v>
      </c>
      <c r="E16" s="196"/>
      <c r="F16" s="83">
        <f t="shared" si="0"/>
        <v>0</v>
      </c>
    </row>
    <row r="17" spans="1:6" ht="15">
      <c r="A17" s="399" t="s">
        <v>224</v>
      </c>
      <c r="B17" s="400"/>
      <c r="C17" s="400"/>
      <c r="D17" s="400"/>
      <c r="E17" s="400"/>
      <c r="F17" s="100">
        <f>SUM(F4:F16)</f>
        <v>0</v>
      </c>
    </row>
  </sheetData>
  <sheetProtection algorithmName="SHA-512" hashValue="gOEgGTQLyeRDDBwfoU0637P7hg5a6Z++6agSehP4cXCa7f3KLvkpaMuxA5AK+r2+UhCTSbtrXwM6ZbkMe2s7tg==" saltValue="aOxtF5gPcsX2g5lcsjgU5Q==" spinCount="100000" sheet="1" objects="1" scenarios="1"/>
  <mergeCells count="3">
    <mergeCell ref="A2:D2"/>
    <mergeCell ref="E2:F2"/>
    <mergeCell ref="A17:E17"/>
  </mergeCells>
  <conditionalFormatting sqref="A1:H2 A3:D3 F3:H3 A4:H25">
    <cfRule type="expression" dxfId="72" priority="3">
      <formula>CELL("Schutz",A1)=0</formula>
    </cfRule>
  </conditionalFormatting>
  <dataValidations disablePrompts="1" count="2">
    <dataValidation type="custom" errorStyle="warning" allowBlank="1" showInputMessage="1" showErrorMessage="1" error="Nur zwei Nachkommastellen zulässig!" sqref="E4 E7:E16" xr:uid="{82D4A96B-8763-41D0-A2AF-07B861DBA001}">
      <formula1>MOD(E4*10^2,1)&lt;(10^-10)</formula1>
    </dataValidation>
    <dataValidation type="custom" errorStyle="warning" allowBlank="1" showInputMessage="1" showErrorMessage="1" error="Nur drei Nachkommastellen zulässig!" sqref="E5:E6" xr:uid="{3FD76014-DA30-4E10-88C2-3676C22B94C0}">
      <formula1>MOD(E5*10^3,1)&lt;(10^-10)</formula1>
    </dataValidation>
  </dataValidations>
  <pageMargins left="0.70866141732283472" right="0.70866141732283472" top="0.78740157480314965" bottom="0.78740157480314965" header="0.31496062992125984" footer="0.31496062992125984"/>
  <pageSetup paperSize="9" fitToHeight="0" orientation="landscape" useFirstPageNumber="1" r:id="rId1"/>
  <headerFooter>
    <oddHeader>&amp;L&amp;"Arial,Fett"&amp;10Bieterangaben zeitgebundene Kosten Tunnel Kauerndorf
Unterlage 01.03-1.3 Ermittlung der Lohnstunden sonstige Teilleistungen Vortrieb Kalotte Hauptröhre
&amp;R&amp;9...................................................
Bieter</oddHeader>
    <oddFooter>&amp;R&amp;9&amp;A
Blattseite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249977111117893"/>
  </sheetPr>
  <dimension ref="A2:I19"/>
  <sheetViews>
    <sheetView showGridLines="0" view="pageBreakPreview" zoomScale="91" zoomScaleNormal="115" zoomScaleSheetLayoutView="91" workbookViewId="0">
      <selection activeCell="G4" sqref="G4"/>
    </sheetView>
  </sheetViews>
  <sheetFormatPr baseColWidth="10" defaultRowHeight="14.25"/>
  <cols>
    <col min="1" max="2" width="13.25" style="1" customWidth="1"/>
    <col min="3" max="3" width="7.875" style="1" customWidth="1"/>
    <col min="4" max="4" width="9.875" style="1" customWidth="1"/>
    <col min="5" max="8" width="19.5" style="28" customWidth="1"/>
    <col min="9" max="9" width="11.5" customWidth="1"/>
  </cols>
  <sheetData>
    <row r="2" spans="1:9" s="4" customFormat="1" ht="28.35" customHeight="1">
      <c r="A2" s="401" t="s">
        <v>158</v>
      </c>
      <c r="B2" s="402"/>
      <c r="C2" s="402"/>
      <c r="D2" s="403"/>
      <c r="E2" s="378" t="s">
        <v>1</v>
      </c>
      <c r="F2" s="379"/>
      <c r="G2" s="48"/>
      <c r="H2" s="48" t="s">
        <v>2</v>
      </c>
      <c r="I2" s="127"/>
    </row>
    <row r="3" spans="1:9" s="5" customFormat="1" ht="83.25" customHeight="1">
      <c r="A3" s="47"/>
      <c r="B3" s="47" t="s">
        <v>27</v>
      </c>
      <c r="C3" s="47" t="s">
        <v>3</v>
      </c>
      <c r="D3" s="237" t="s">
        <v>329</v>
      </c>
      <c r="E3" s="48" t="s">
        <v>155</v>
      </c>
      <c r="F3" s="48" t="s">
        <v>157</v>
      </c>
      <c r="G3" s="141" t="s">
        <v>226</v>
      </c>
      <c r="H3" s="48" t="s">
        <v>156</v>
      </c>
      <c r="I3" s="93" t="s">
        <v>252</v>
      </c>
    </row>
    <row r="4" spans="1:9" s="3" customFormat="1" ht="28.35" customHeight="1">
      <c r="A4" s="49" t="s">
        <v>306</v>
      </c>
      <c r="B4" s="7" t="s">
        <v>35</v>
      </c>
      <c r="C4" s="208">
        <f>2*'1.1 Vortriebsdauer Kalotte HR'!C5</f>
        <v>3.4</v>
      </c>
      <c r="D4" s="293">
        <f>'1.1 Vortriebsdauer Kalotte HR'!D5</f>
        <v>89</v>
      </c>
      <c r="E4" s="29" t="e">
        <f>ROUND(F4/C4,2)</f>
        <v>#DIV/0!</v>
      </c>
      <c r="F4" s="29" t="e">
        <f>ROUND(G4/I4,2)</f>
        <v>#DIV/0!</v>
      </c>
      <c r="G4" s="29">
        <f>'1.0 Allgemeines'!F45</f>
        <v>0</v>
      </c>
      <c r="H4" s="29" t="e">
        <f>ROUND(D4/F4,2)</f>
        <v>#DIV/0!</v>
      </c>
      <c r="I4" s="191">
        <f>'1.5 Lohnstunden Str_So HR'!H14</f>
        <v>0</v>
      </c>
    </row>
    <row r="5" spans="1:9" s="3" customFormat="1" ht="28.35" customHeight="1">
      <c r="A5" s="49" t="s">
        <v>307</v>
      </c>
      <c r="B5" s="7" t="s">
        <v>36</v>
      </c>
      <c r="C5" s="208">
        <f>2*'1.1 Vortriebsdauer Kalotte HR'!C6</f>
        <v>2.6</v>
      </c>
      <c r="D5" s="293">
        <f>'1.1 Vortriebsdauer Kalotte HR'!D6-D6</f>
        <v>188.5</v>
      </c>
      <c r="E5" s="29" t="e">
        <f t="shared" ref="E5:E11" si="0">ROUND(F5/C5,2)</f>
        <v>#DIV/0!</v>
      </c>
      <c r="F5" s="29" t="e">
        <f t="shared" ref="F5:F11" si="1">ROUND(G5/I5,2)</f>
        <v>#DIV/0!</v>
      </c>
      <c r="G5" s="29">
        <f>'1.0 Allgemeines'!F46</f>
        <v>0</v>
      </c>
      <c r="H5" s="29" t="e">
        <f t="shared" ref="H5:H11" si="2">ROUND(D5/F5,2)</f>
        <v>#DIV/0!</v>
      </c>
      <c r="I5" s="192">
        <f>'1.5 Lohnstunden Str_So HR'!H26</f>
        <v>0</v>
      </c>
    </row>
    <row r="6" spans="1:9" s="3" customFormat="1" ht="28.35" customHeight="1">
      <c r="A6" s="49" t="s">
        <v>310</v>
      </c>
      <c r="B6" s="7" t="s">
        <v>36</v>
      </c>
      <c r="C6" s="208">
        <f>'1.1 Vortriebsdauer Kalotte HR'!C7</f>
        <v>2.6</v>
      </c>
      <c r="D6" s="293">
        <f>'1.1 Vortriebsdauer Kalotte HR'!D7</f>
        <v>27.1</v>
      </c>
      <c r="E6" s="29" t="e">
        <f t="shared" si="0"/>
        <v>#DIV/0!</v>
      </c>
      <c r="F6" s="29" t="e">
        <f t="shared" si="1"/>
        <v>#DIV/0!</v>
      </c>
      <c r="G6" s="29">
        <f>'1.0 Allgemeines'!F47</f>
        <v>0</v>
      </c>
      <c r="H6" s="29" t="e">
        <f t="shared" si="2"/>
        <v>#DIV/0!</v>
      </c>
      <c r="I6" s="192">
        <f>'1.5 Lohnstunden Str_So HR'!H39</f>
        <v>0</v>
      </c>
    </row>
    <row r="7" spans="1:9" s="3" customFormat="1" ht="28.35" customHeight="1">
      <c r="A7" s="49" t="s">
        <v>308</v>
      </c>
      <c r="B7" s="7" t="s">
        <v>36</v>
      </c>
      <c r="C7" s="208">
        <f>2*'1.1 Vortriebsdauer Kalotte HR'!C8</f>
        <v>2.6</v>
      </c>
      <c r="D7" s="293">
        <f>'1.1 Vortriebsdauer Kalotte HR'!D8-D8</f>
        <v>75</v>
      </c>
      <c r="E7" s="29" t="e">
        <f t="shared" si="0"/>
        <v>#DIV/0!</v>
      </c>
      <c r="F7" s="29" t="e">
        <f t="shared" si="1"/>
        <v>#DIV/0!</v>
      </c>
      <c r="G7" s="29">
        <f>'1.0 Allgemeines'!F48</f>
        <v>0</v>
      </c>
      <c r="H7" s="29" t="e">
        <f t="shared" si="2"/>
        <v>#DIV/0!</v>
      </c>
      <c r="I7" s="192">
        <f>'1.5 Lohnstunden Str_So HR'!H53</f>
        <v>0</v>
      </c>
    </row>
    <row r="8" spans="1:9" s="3" customFormat="1" ht="28.35" customHeight="1">
      <c r="A8" s="49" t="s">
        <v>311</v>
      </c>
      <c r="B8" s="7" t="s">
        <v>36</v>
      </c>
      <c r="C8" s="208">
        <f>'1.1 Vortriebsdauer Kalotte HR'!C9</f>
        <v>2.6</v>
      </c>
      <c r="D8" s="293">
        <f>'1.1 Vortriebsdauer Kalotte HR'!D9</f>
        <v>51.4</v>
      </c>
      <c r="E8" s="29" t="e">
        <f t="shared" si="0"/>
        <v>#DIV/0!</v>
      </c>
      <c r="F8" s="29" t="e">
        <f t="shared" si="1"/>
        <v>#DIV/0!</v>
      </c>
      <c r="G8" s="29">
        <f>'1.0 Allgemeines'!F49</f>
        <v>0</v>
      </c>
      <c r="H8" s="29" t="e">
        <f t="shared" si="2"/>
        <v>#DIV/0!</v>
      </c>
      <c r="I8" s="192">
        <f>'1.5 Lohnstunden Str_So HR'!H68</f>
        <v>0</v>
      </c>
    </row>
    <row r="9" spans="1:9" s="3" customFormat="1" ht="28.35" customHeight="1">
      <c r="A9" s="49" t="s">
        <v>309</v>
      </c>
      <c r="B9" s="7" t="s">
        <v>62</v>
      </c>
      <c r="C9" s="208">
        <f>2*'1.1 Vortriebsdauer Kalotte HR'!C10</f>
        <v>2</v>
      </c>
      <c r="D9" s="293">
        <f>'1.1 Vortriebsdauer Kalotte HR'!D10-D10</f>
        <v>22.200000000000003</v>
      </c>
      <c r="E9" s="29" t="e">
        <f t="shared" si="0"/>
        <v>#DIV/0!</v>
      </c>
      <c r="F9" s="29" t="e">
        <f t="shared" si="1"/>
        <v>#DIV/0!</v>
      </c>
      <c r="G9" s="29">
        <f>'1.0 Allgemeines'!F50</f>
        <v>0</v>
      </c>
      <c r="H9" s="29" t="e">
        <f t="shared" si="2"/>
        <v>#DIV/0!</v>
      </c>
      <c r="I9" s="192">
        <f>'1.5 Lohnstunden Str_So HR'!H82</f>
        <v>0</v>
      </c>
    </row>
    <row r="10" spans="1:9" s="3" customFormat="1" ht="28.35" customHeight="1">
      <c r="A10" s="49" t="s">
        <v>312</v>
      </c>
      <c r="B10" s="7" t="s">
        <v>62</v>
      </c>
      <c r="C10" s="208">
        <f>'1.1 Vortriebsdauer Kalotte HR'!C11</f>
        <v>2</v>
      </c>
      <c r="D10" s="293">
        <f>'1.1 Vortriebsdauer Kalotte HR'!D11</f>
        <v>55.8</v>
      </c>
      <c r="E10" s="29" t="e">
        <f t="shared" si="0"/>
        <v>#DIV/0!</v>
      </c>
      <c r="F10" s="29" t="e">
        <f t="shared" si="1"/>
        <v>#DIV/0!</v>
      </c>
      <c r="G10" s="29">
        <f>'1.0 Allgemeines'!F51</f>
        <v>0</v>
      </c>
      <c r="H10" s="29" t="e">
        <f t="shared" si="2"/>
        <v>#DIV/0!</v>
      </c>
      <c r="I10" s="192">
        <f>'1.5 Lohnstunden Str_So HR'!H97</f>
        <v>0</v>
      </c>
    </row>
    <row r="11" spans="1:9" s="3" customFormat="1" ht="28.35" customHeight="1">
      <c r="A11" s="49" t="s">
        <v>313</v>
      </c>
      <c r="B11" s="7" t="s">
        <v>46</v>
      </c>
      <c r="C11" s="208">
        <f>2*'1.1 Vortriebsdauer Kalotte HR'!C12</f>
        <v>2</v>
      </c>
      <c r="D11" s="294">
        <f>'1.1 Vortriebsdauer Kalotte HR'!D12</f>
        <v>110.19999999999999</v>
      </c>
      <c r="E11" s="29" t="e">
        <f t="shared" si="0"/>
        <v>#DIV/0!</v>
      </c>
      <c r="F11" s="29" t="e">
        <f t="shared" si="1"/>
        <v>#DIV/0!</v>
      </c>
      <c r="G11" s="29">
        <f>'1.0 Allgemeines'!F52</f>
        <v>0</v>
      </c>
      <c r="H11" s="29" t="e">
        <f t="shared" si="2"/>
        <v>#DIV/0!</v>
      </c>
      <c r="I11" s="192">
        <f>'1.5 Lohnstunden Str_So HR'!H112</f>
        <v>0</v>
      </c>
    </row>
    <row r="12" spans="1:9" s="3" customFormat="1" ht="28.35" customHeight="1">
      <c r="A12" s="375" t="s">
        <v>228</v>
      </c>
      <c r="B12" s="376"/>
      <c r="C12" s="376"/>
      <c r="D12" s="376"/>
      <c r="E12" s="376"/>
      <c r="F12" s="376"/>
      <c r="G12" s="376"/>
      <c r="H12" s="377"/>
      <c r="I12" s="223">
        <f>'1.5 Lohnstunden Str_So HR'!J114</f>
        <v>0</v>
      </c>
    </row>
    <row r="13" spans="1:9" s="4" customFormat="1" ht="28.35" customHeight="1">
      <c r="A13" s="375" t="s">
        <v>173</v>
      </c>
      <c r="B13" s="376"/>
      <c r="C13" s="376"/>
      <c r="D13" s="376"/>
      <c r="E13" s="376"/>
      <c r="F13" s="45"/>
      <c r="G13" s="45"/>
      <c r="H13" s="46" t="e">
        <f>SUM(H4:H11)</f>
        <v>#DIV/0!</v>
      </c>
      <c r="I13" s="193"/>
    </row>
    <row r="14" spans="1:9" s="3" customFormat="1" ht="28.35" customHeight="1">
      <c r="A14" s="301" t="s">
        <v>330</v>
      </c>
      <c r="B14" s="2"/>
      <c r="C14" s="2"/>
      <c r="D14" s="2"/>
      <c r="E14" s="27"/>
      <c r="F14" s="27"/>
      <c r="G14" s="27"/>
      <c r="H14" s="27"/>
    </row>
    <row r="15" spans="1:9" s="3" customFormat="1" ht="28.35" customHeight="1">
      <c r="A15" s="2"/>
      <c r="B15" s="2"/>
      <c r="C15" s="2"/>
      <c r="D15" s="119"/>
      <c r="E15" s="27"/>
      <c r="F15" s="27"/>
      <c r="G15" s="27"/>
      <c r="H15" s="27"/>
    </row>
    <row r="16" spans="1:9" s="3" customFormat="1" ht="20.25" customHeight="1">
      <c r="A16" s="2"/>
      <c r="B16" s="2"/>
      <c r="C16" s="2"/>
      <c r="D16" s="2"/>
      <c r="E16" s="27"/>
      <c r="F16" s="27"/>
      <c r="G16" s="27"/>
      <c r="H16" s="27"/>
    </row>
    <row r="17" spans="1:8" s="3" customFormat="1" ht="20.25" customHeight="1">
      <c r="A17" s="2"/>
      <c r="B17" s="2"/>
      <c r="C17" s="2"/>
      <c r="D17" s="2"/>
      <c r="E17" s="27"/>
      <c r="F17" s="27"/>
      <c r="G17" s="27"/>
      <c r="H17" s="27"/>
    </row>
    <row r="18" spans="1:8" s="3" customFormat="1" ht="20.25" customHeight="1">
      <c r="A18" s="2"/>
      <c r="B18" s="2"/>
      <c r="C18" s="2"/>
      <c r="D18" s="2"/>
      <c r="E18" s="27"/>
      <c r="F18" s="27"/>
      <c r="G18" s="27"/>
      <c r="H18" s="27"/>
    </row>
    <row r="19" spans="1:8" s="3" customFormat="1" ht="20.25" customHeight="1">
      <c r="A19" s="2"/>
      <c r="B19" s="2"/>
      <c r="C19" s="2"/>
      <c r="D19" s="2"/>
      <c r="E19" s="27"/>
      <c r="F19" s="27"/>
      <c r="G19" s="27"/>
      <c r="H19" s="27"/>
    </row>
  </sheetData>
  <sheetProtection algorithmName="SHA-512" hashValue="twJKmOruSEDVcQlKhJJMXpnHG6Ikk2lxmvT4OQDXhBz1ebzPg8YEbIhw153U9cgeUmEO8aMzYqXgwdJkBMa5FA==" saltValue="qpe0zqzTAat/LRrfJZj2Sw==" spinCount="100000" sheet="1" objects="1" scenarios="1"/>
  <mergeCells count="4">
    <mergeCell ref="A13:E13"/>
    <mergeCell ref="A2:D2"/>
    <mergeCell ref="E2:F2"/>
    <mergeCell ref="A12:H12"/>
  </mergeCells>
  <conditionalFormatting sqref="A2 E2 G2:I2">
    <cfRule type="expression" dxfId="71" priority="6">
      <formula>CELL("Schutz",A2)=0</formula>
    </cfRule>
  </conditionalFormatting>
  <conditionalFormatting sqref="A12:H12">
    <cfRule type="expression" dxfId="70" priority="3">
      <formula>CELL("Schutz",A12)=0</formula>
    </cfRule>
  </conditionalFormatting>
  <conditionalFormatting sqref="A1:I2 A3:C3 E3:I3 A4:I11 I12 A13:I13 B14:I14 A15:I21">
    <cfRule type="expression" dxfId="69" priority="4">
      <formula>CELL("Schutz",A1)=0</formula>
    </cfRule>
  </conditionalFormatting>
  <conditionalFormatting sqref="A3:I3">
    <cfRule type="expression" dxfId="68" priority="1">
      <formula>CELL("Schutz",A3)=0</formula>
    </cfRule>
  </conditionalFormatting>
  <conditionalFormatting sqref="E4:H11">
    <cfRule type="expression" dxfId="67" priority="5">
      <formula>CELL("Schutz",E4)=0</formula>
    </cfRule>
  </conditionalFormatting>
  <pageMargins left="0.70866141732283472" right="0.70866141732283472" top="0.78740157480314965" bottom="0.78740157480314965" header="0.31496062992125984" footer="0.31496062992125984"/>
  <pageSetup paperSize="9" scale="89" orientation="landscape" useFirstPageNumber="1" r:id="rId1"/>
  <headerFooter>
    <oddHeader>&amp;L&amp;"Arial,Fett"&amp;10Bieterangaben zeitgebundene Kosten Tunnel Kauerndorf
Unterlage 01.03-1.4 - Ermittlung der Vortriebsdauer Strosse/Sohle Hauptröhre&amp;R&amp;9.....................................................
Bieter</oddHeader>
    <oddFooter>&amp;R&amp;A
Blattseite &amp;P</oddFooter>
    <firstFooter>&amp;R&amp;P</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40C32-02F8-44D7-928D-62DE63CF90B0}">
  <sheetPr>
    <tabColor theme="9" tint="-0.249977111117893"/>
    <pageSetUpPr fitToPage="1"/>
  </sheetPr>
  <dimension ref="A2:J119"/>
  <sheetViews>
    <sheetView showGridLines="0" view="pageBreakPreview" topLeftCell="A10" zoomScaleNormal="100" zoomScaleSheetLayoutView="100" zoomScalePageLayoutView="85" workbookViewId="0">
      <selection activeCell="A10" sqref="A10:F10"/>
    </sheetView>
  </sheetViews>
  <sheetFormatPr baseColWidth="10" defaultColWidth="11.25" defaultRowHeight="14.25"/>
  <cols>
    <col min="1" max="1" width="17.625" customWidth="1"/>
    <col min="2" max="2" width="50.5" style="64" customWidth="1"/>
    <col min="3" max="3" width="7.75" style="64" customWidth="1"/>
    <col min="4" max="4" width="9.125" style="101" customWidth="1"/>
    <col min="5" max="5" width="9" style="88" customWidth="1"/>
    <col min="6" max="6" width="26" style="231" customWidth="1"/>
    <col min="7" max="7" width="19.625" style="37" customWidth="1"/>
    <col min="8" max="8" width="12.625" style="37" customWidth="1"/>
    <col min="9" max="9" width="11.75" style="37" customWidth="1"/>
    <col min="10" max="10" width="12.375" style="38" customWidth="1"/>
    <col min="11" max="11" width="2" customWidth="1"/>
  </cols>
  <sheetData>
    <row r="2" spans="1:10">
      <c r="A2" s="383" t="s">
        <v>26</v>
      </c>
      <c r="B2" s="384"/>
      <c r="C2" s="384"/>
      <c r="D2" s="384"/>
      <c r="E2" s="385"/>
      <c r="F2" s="232"/>
      <c r="G2" s="386" t="s">
        <v>0</v>
      </c>
      <c r="H2" s="387"/>
      <c r="I2" s="387"/>
      <c r="J2" s="388"/>
    </row>
    <row r="3" spans="1:10" ht="57">
      <c r="A3" s="10" t="s">
        <v>47</v>
      </c>
      <c r="B3" s="53" t="s">
        <v>8</v>
      </c>
      <c r="C3" s="53" t="s">
        <v>4</v>
      </c>
      <c r="D3" s="89" t="s">
        <v>44</v>
      </c>
      <c r="E3" s="81" t="s">
        <v>277</v>
      </c>
      <c r="F3" s="81" t="s">
        <v>210</v>
      </c>
      <c r="G3" s="31" t="s">
        <v>361</v>
      </c>
      <c r="H3" s="31" t="s">
        <v>172</v>
      </c>
      <c r="I3" s="31" t="s">
        <v>16</v>
      </c>
      <c r="J3" s="31" t="s">
        <v>9</v>
      </c>
    </row>
    <row r="4" spans="1:10" ht="24">
      <c r="A4" s="6" t="s">
        <v>94</v>
      </c>
      <c r="B4" s="155" t="s">
        <v>141</v>
      </c>
      <c r="C4" s="80" t="s">
        <v>5</v>
      </c>
      <c r="D4" s="90">
        <f>45.34*$A$5</f>
        <v>154.15600000000001</v>
      </c>
      <c r="E4" s="82">
        <f>D4/$A$5</f>
        <v>45.34</v>
      </c>
      <c r="F4" s="225"/>
      <c r="G4" s="194"/>
      <c r="H4" s="35">
        <f>ROUND(E4*G4,2)</f>
        <v>0</v>
      </c>
      <c r="I4" s="69"/>
      <c r="J4" s="70"/>
    </row>
    <row r="5" spans="1:10">
      <c r="A5" s="71">
        <f>'1.1 Vortriebsdauer Kalotte HR'!C5*2</f>
        <v>3.4</v>
      </c>
      <c r="B5" s="55" t="str">
        <f>'1.0a Rüstzeiten'!A9</f>
        <v>Rüsten Haupttunnel, Ausbruch Strosse/Sohle, sprengen</v>
      </c>
      <c r="C5" s="253" t="s">
        <v>49</v>
      </c>
      <c r="D5" s="254">
        <v>1</v>
      </c>
      <c r="E5" s="85">
        <f>D5/$A$5</f>
        <v>0.29411764705882354</v>
      </c>
      <c r="F5" s="225" t="s">
        <v>211</v>
      </c>
      <c r="G5" s="128">
        <f>ROUND('1.0a Rüstzeiten'!G9*'1.0 Allgemeines'!F$45/24,2)</f>
        <v>0</v>
      </c>
      <c r="H5" s="35">
        <f>ROUND(E5*G5,2)</f>
        <v>0</v>
      </c>
      <c r="I5" s="69"/>
      <c r="J5" s="70"/>
    </row>
    <row r="6" spans="1:10">
      <c r="A6" s="107"/>
      <c r="B6" s="56" t="str">
        <f>'1.0a Rüstzeiten'!A18</f>
        <v>Rüsten Haupttunnel, Spritzbeton/Bewehrung Strosse/Sohle</v>
      </c>
      <c r="C6" s="102" t="s">
        <v>49</v>
      </c>
      <c r="D6" s="252">
        <v>1</v>
      </c>
      <c r="E6" s="83">
        <f>D6/$A$5</f>
        <v>0.29411764705882354</v>
      </c>
      <c r="F6" s="233" t="s">
        <v>211</v>
      </c>
      <c r="G6" s="30">
        <f>ROUND('1.0a Rüstzeiten'!G18*'1.0 Allgemeines'!F$45/24,2)</f>
        <v>0</v>
      </c>
      <c r="H6" s="74">
        <f>ROUND(E6*G6,2)</f>
        <v>0</v>
      </c>
      <c r="I6" s="69"/>
      <c r="J6" s="70"/>
    </row>
    <row r="7" spans="1:10">
      <c r="A7" s="107"/>
      <c r="B7" s="156" t="str">
        <f>'1.0a Rüstzeiten'!A23</f>
        <v>Rüsten Haupttunnel, Ankern und Spießen  Strosse/Sohle</v>
      </c>
      <c r="C7" s="255" t="s">
        <v>49</v>
      </c>
      <c r="D7" s="124">
        <v>1</v>
      </c>
      <c r="E7" s="99">
        <f>D7/$A$5</f>
        <v>0.29411764705882354</v>
      </c>
      <c r="F7" s="259" t="s">
        <v>211</v>
      </c>
      <c r="G7" s="260">
        <f>ROUND('1.0a Rüstzeiten'!G23*'1.0 Allgemeines'!F$45/24,2)</f>
        <v>0</v>
      </c>
      <c r="H7" s="33">
        <f>ROUND(E7*G7,2)</f>
        <v>0</v>
      </c>
      <c r="I7" s="69"/>
      <c r="J7" s="70"/>
    </row>
    <row r="8" spans="1:10">
      <c r="A8" s="66"/>
      <c r="B8" s="72" t="s">
        <v>61</v>
      </c>
      <c r="C8" s="73" t="s">
        <v>6</v>
      </c>
      <c r="D8" s="91">
        <f>16.69*$A$5</f>
        <v>56.746000000000002</v>
      </c>
      <c r="E8" s="104">
        <f t="shared" ref="E8:E13" si="0">D8/$A$5</f>
        <v>16.690000000000001</v>
      </c>
      <c r="F8" s="226" t="s">
        <v>212</v>
      </c>
      <c r="G8" s="195"/>
      <c r="H8" s="74">
        <f t="shared" ref="H8:H13" si="1">ROUND(E8*G8,2)</f>
        <v>0</v>
      </c>
      <c r="I8" s="74"/>
      <c r="J8" s="70"/>
    </row>
    <row r="9" spans="1:10">
      <c r="A9" s="71"/>
      <c r="B9" s="72" t="s">
        <v>91</v>
      </c>
      <c r="C9" s="73" t="s">
        <v>379</v>
      </c>
      <c r="D9" s="91">
        <f>16.69*$A$5*4.12/1000</f>
        <v>0.23379352000000003</v>
      </c>
      <c r="E9" s="325">
        <f t="shared" si="0"/>
        <v>6.8762800000000013E-2</v>
      </c>
      <c r="F9" s="226" t="s">
        <v>212</v>
      </c>
      <c r="G9" s="195"/>
      <c r="H9" s="74">
        <f t="shared" si="1"/>
        <v>0</v>
      </c>
      <c r="I9" s="74"/>
      <c r="J9" s="70"/>
    </row>
    <row r="10" spans="1:10">
      <c r="A10" s="71"/>
      <c r="B10" s="72" t="s">
        <v>139</v>
      </c>
      <c r="C10" s="73" t="s">
        <v>379</v>
      </c>
      <c r="D10" s="91">
        <f>16.69*$A$5*4.12/1000</f>
        <v>0.23379352000000003</v>
      </c>
      <c r="E10" s="325">
        <f t="shared" si="0"/>
        <v>6.8762800000000013E-2</v>
      </c>
      <c r="F10" s="226" t="s">
        <v>212</v>
      </c>
      <c r="G10" s="195"/>
      <c r="H10" s="74">
        <f t="shared" si="1"/>
        <v>0</v>
      </c>
      <c r="I10" s="74"/>
      <c r="J10" s="70"/>
    </row>
    <row r="11" spans="1:10">
      <c r="A11" s="71"/>
      <c r="B11" s="72" t="s">
        <v>28</v>
      </c>
      <c r="C11" s="73" t="s">
        <v>379</v>
      </c>
      <c r="D11" s="91">
        <f>4.86*12.7/1000</f>
        <v>6.1721999999999999E-2</v>
      </c>
      <c r="E11" s="325">
        <f t="shared" si="0"/>
        <v>1.8153529411764707E-2</v>
      </c>
      <c r="F11" s="226" t="s">
        <v>212</v>
      </c>
      <c r="G11" s="195"/>
      <c r="H11" s="74">
        <f t="shared" si="1"/>
        <v>0</v>
      </c>
      <c r="I11" s="74"/>
      <c r="J11" s="70"/>
    </row>
    <row r="12" spans="1:10">
      <c r="A12" s="71"/>
      <c r="B12" s="72" t="s">
        <v>11</v>
      </c>
      <c r="C12" s="73" t="s">
        <v>49</v>
      </c>
      <c r="D12" s="91">
        <f>6</f>
        <v>6</v>
      </c>
      <c r="E12" s="104">
        <f t="shared" si="0"/>
        <v>1.7647058823529411</v>
      </c>
      <c r="F12" s="226" t="s">
        <v>212</v>
      </c>
      <c r="G12" s="195"/>
      <c r="H12" s="74">
        <f t="shared" si="1"/>
        <v>0</v>
      </c>
      <c r="I12" s="74"/>
      <c r="J12" s="70"/>
    </row>
    <row r="13" spans="1:10">
      <c r="A13" s="71"/>
      <c r="B13" s="72" t="s">
        <v>13</v>
      </c>
      <c r="C13" s="73" t="s">
        <v>6</v>
      </c>
      <c r="D13" s="91">
        <f>45.34</f>
        <v>45.34</v>
      </c>
      <c r="E13" s="105">
        <f t="shared" si="0"/>
        <v>13.335294117647059</v>
      </c>
      <c r="F13" s="226" t="s">
        <v>212</v>
      </c>
      <c r="G13" s="195"/>
      <c r="H13" s="74">
        <f t="shared" si="1"/>
        <v>0</v>
      </c>
      <c r="I13" s="74"/>
      <c r="J13" s="70"/>
    </row>
    <row r="14" spans="1:10">
      <c r="A14" s="12"/>
      <c r="B14" s="58" t="s">
        <v>12</v>
      </c>
      <c r="C14" s="59"/>
      <c r="D14" s="92"/>
      <c r="E14" s="84"/>
      <c r="F14" s="227"/>
      <c r="G14" s="36"/>
      <c r="H14" s="34">
        <f>SUM(H4:H13)</f>
        <v>0</v>
      </c>
      <c r="I14" s="34">
        <f>'1.4 Vortriebsdauer Str_So HR'!D4</f>
        <v>89</v>
      </c>
      <c r="J14" s="34">
        <f>H14*I14</f>
        <v>0</v>
      </c>
    </row>
    <row r="15" spans="1:10" ht="6.75" customHeight="1">
      <c r="A15" s="12"/>
      <c r="B15" s="58"/>
      <c r="C15" s="59"/>
      <c r="D15" s="92"/>
      <c r="E15" s="84"/>
      <c r="F15" s="227"/>
      <c r="G15" s="36"/>
      <c r="H15" s="34"/>
      <c r="I15" s="34"/>
      <c r="J15" s="34"/>
    </row>
    <row r="16" spans="1:10" ht="24">
      <c r="A16" s="6" t="s">
        <v>85</v>
      </c>
      <c r="B16" s="155" t="s">
        <v>63</v>
      </c>
      <c r="C16" s="80" t="s">
        <v>5</v>
      </c>
      <c r="D16" s="90">
        <f>45.34*$A$17</f>
        <v>117.88400000000001</v>
      </c>
      <c r="E16" s="82">
        <f>D16/$A$17</f>
        <v>45.34</v>
      </c>
      <c r="F16" s="225"/>
      <c r="G16" s="197"/>
      <c r="H16" s="35">
        <f>ROUND(E4*G4,2)</f>
        <v>0</v>
      </c>
      <c r="I16" s="74"/>
      <c r="J16" s="70"/>
    </row>
    <row r="17" spans="1:10">
      <c r="A17" s="96">
        <f>'1.1 Vortriebsdauer Kalotte HR'!C6*2</f>
        <v>2.6</v>
      </c>
      <c r="B17" s="55" t="str">
        <f>'1.0a Rüstzeiten'!A9</f>
        <v>Rüsten Haupttunnel, Ausbruch Strosse/Sohle, sprengen</v>
      </c>
      <c r="C17" s="253" t="s">
        <v>49</v>
      </c>
      <c r="D17" s="254">
        <v>1</v>
      </c>
      <c r="E17" s="85">
        <f>D17/$A$17</f>
        <v>0.38461538461538458</v>
      </c>
      <c r="F17" s="225" t="s">
        <v>211</v>
      </c>
      <c r="G17" s="128">
        <f>ROUND('1.0a Rüstzeiten'!G9*'1.0 Allgemeines'!F$46/24,2)</f>
        <v>0</v>
      </c>
      <c r="H17" s="35">
        <f>ROUND(E17*G17,2)</f>
        <v>0</v>
      </c>
      <c r="I17" s="74"/>
      <c r="J17" s="70"/>
    </row>
    <row r="18" spans="1:10">
      <c r="A18" s="107"/>
      <c r="B18" s="56" t="str">
        <f>'1.0a Rüstzeiten'!A18</f>
        <v>Rüsten Haupttunnel, Spritzbeton/Bewehrung Strosse/Sohle</v>
      </c>
      <c r="C18" s="102" t="s">
        <v>49</v>
      </c>
      <c r="D18" s="252">
        <v>1</v>
      </c>
      <c r="E18" s="83">
        <f>D18/$A$17</f>
        <v>0.38461538461538458</v>
      </c>
      <c r="F18" s="233" t="s">
        <v>211</v>
      </c>
      <c r="G18" s="30">
        <f>ROUND('1.0a Rüstzeiten'!G18*'1.0 Allgemeines'!F$46/24,2)</f>
        <v>0</v>
      </c>
      <c r="H18" s="74">
        <f>ROUND(E18*G18,2)</f>
        <v>0</v>
      </c>
      <c r="I18" s="74"/>
      <c r="J18" s="70"/>
    </row>
    <row r="19" spans="1:10">
      <c r="A19" s="107"/>
      <c r="B19" s="156" t="str">
        <f>'1.0a Rüstzeiten'!A23</f>
        <v>Rüsten Haupttunnel, Ankern und Spießen  Strosse/Sohle</v>
      </c>
      <c r="C19" s="255" t="s">
        <v>49</v>
      </c>
      <c r="D19" s="124">
        <v>1</v>
      </c>
      <c r="E19" s="99">
        <f>D19/$A$17</f>
        <v>0.38461538461538458</v>
      </c>
      <c r="F19" s="259" t="s">
        <v>211</v>
      </c>
      <c r="G19" s="260">
        <f>ROUND('1.0a Rüstzeiten'!G23*'1.0 Allgemeines'!F$46/24,2)</f>
        <v>0</v>
      </c>
      <c r="H19" s="33">
        <f>ROUND(E19*G19,2)</f>
        <v>0</v>
      </c>
      <c r="I19" s="74"/>
      <c r="J19" s="70"/>
    </row>
    <row r="20" spans="1:10">
      <c r="A20" s="66"/>
      <c r="B20" s="72" t="s">
        <v>61</v>
      </c>
      <c r="C20" s="73" t="s">
        <v>6</v>
      </c>
      <c r="D20" s="91">
        <f>16.69*$A$17</f>
        <v>43.394000000000005</v>
      </c>
      <c r="E20" s="83">
        <f t="shared" ref="E20:E25" si="2">D20/$A$17</f>
        <v>16.690000000000001</v>
      </c>
      <c r="F20" s="226" t="str">
        <f t="shared" ref="F20:F25" si="3">A$4</f>
        <v>Strosse/Sohle 6A.1 HR
(ohne KSG)</v>
      </c>
      <c r="G20" s="70">
        <f t="shared" ref="G20:G25" si="4">G8</f>
        <v>0</v>
      </c>
      <c r="H20" s="74">
        <f t="shared" ref="H20:H25" si="5">ROUND(E8*G8,2)</f>
        <v>0</v>
      </c>
      <c r="I20" s="74"/>
      <c r="J20" s="70"/>
    </row>
    <row r="21" spans="1:10">
      <c r="A21" s="71"/>
      <c r="B21" s="72" t="s">
        <v>91</v>
      </c>
      <c r="C21" s="73" t="s">
        <v>379</v>
      </c>
      <c r="D21" s="91">
        <f>16.69*$A$17*4.12/1000</f>
        <v>0.17878328000000002</v>
      </c>
      <c r="E21" s="324">
        <f t="shared" si="2"/>
        <v>6.8762799999999999E-2</v>
      </c>
      <c r="F21" s="226" t="str">
        <f t="shared" si="3"/>
        <v>Strosse/Sohle 6A.1 HR
(ohne KSG)</v>
      </c>
      <c r="G21" s="70">
        <f t="shared" si="4"/>
        <v>0</v>
      </c>
      <c r="H21" s="74">
        <f t="shared" si="5"/>
        <v>0</v>
      </c>
      <c r="I21" s="74"/>
      <c r="J21" s="70"/>
    </row>
    <row r="22" spans="1:10">
      <c r="A22" s="71"/>
      <c r="B22" s="72" t="s">
        <v>139</v>
      </c>
      <c r="C22" s="73" t="s">
        <v>379</v>
      </c>
      <c r="D22" s="91">
        <f>16.69*$A$17*4.12/1000</f>
        <v>0.17878328000000002</v>
      </c>
      <c r="E22" s="324">
        <f t="shared" si="2"/>
        <v>6.8762799999999999E-2</v>
      </c>
      <c r="F22" s="226" t="str">
        <f t="shared" si="3"/>
        <v>Strosse/Sohle 6A.1 HR
(ohne KSG)</v>
      </c>
      <c r="G22" s="70">
        <f t="shared" si="4"/>
        <v>0</v>
      </c>
      <c r="H22" s="74">
        <f t="shared" si="5"/>
        <v>0</v>
      </c>
      <c r="I22" s="74"/>
      <c r="J22" s="70"/>
    </row>
    <row r="23" spans="1:10">
      <c r="A23" s="66"/>
      <c r="B23" s="72" t="s">
        <v>28</v>
      </c>
      <c r="C23" s="73" t="s">
        <v>379</v>
      </c>
      <c r="D23" s="91">
        <f>4.86*12.7/1000</f>
        <v>6.1721999999999999E-2</v>
      </c>
      <c r="E23" s="324">
        <f t="shared" si="2"/>
        <v>2.3739230769230769E-2</v>
      </c>
      <c r="F23" s="226" t="str">
        <f t="shared" si="3"/>
        <v>Strosse/Sohle 6A.1 HR
(ohne KSG)</v>
      </c>
      <c r="G23" s="70">
        <f t="shared" si="4"/>
        <v>0</v>
      </c>
      <c r="H23" s="74">
        <f t="shared" si="5"/>
        <v>0</v>
      </c>
      <c r="I23" s="74"/>
      <c r="J23" s="70"/>
    </row>
    <row r="24" spans="1:10">
      <c r="A24" s="71"/>
      <c r="B24" s="72" t="s">
        <v>11</v>
      </c>
      <c r="C24" s="73" t="s">
        <v>49</v>
      </c>
      <c r="D24" s="91">
        <f>6</f>
        <v>6</v>
      </c>
      <c r="E24" s="83">
        <f t="shared" si="2"/>
        <v>2.3076923076923075</v>
      </c>
      <c r="F24" s="226" t="str">
        <f t="shared" si="3"/>
        <v>Strosse/Sohle 6A.1 HR
(ohne KSG)</v>
      </c>
      <c r="G24" s="70">
        <f t="shared" si="4"/>
        <v>0</v>
      </c>
      <c r="H24" s="74">
        <f t="shared" si="5"/>
        <v>0</v>
      </c>
      <c r="I24" s="74"/>
      <c r="J24" s="70"/>
    </row>
    <row r="25" spans="1:10">
      <c r="A25" s="71"/>
      <c r="B25" s="72" t="s">
        <v>13</v>
      </c>
      <c r="C25" s="73" t="s">
        <v>6</v>
      </c>
      <c r="D25" s="91">
        <f>45.34</f>
        <v>45.34</v>
      </c>
      <c r="E25" s="83">
        <f t="shared" si="2"/>
        <v>17.438461538461539</v>
      </c>
      <c r="F25" s="226" t="str">
        <f t="shared" si="3"/>
        <v>Strosse/Sohle 6A.1 HR
(ohne KSG)</v>
      </c>
      <c r="G25" s="70">
        <f t="shared" si="4"/>
        <v>0</v>
      </c>
      <c r="H25" s="74">
        <f t="shared" si="5"/>
        <v>0</v>
      </c>
      <c r="I25" s="74"/>
      <c r="J25" s="70"/>
    </row>
    <row r="26" spans="1:10">
      <c r="A26" s="12"/>
      <c r="B26" s="58" t="s">
        <v>12</v>
      </c>
      <c r="C26" s="59"/>
      <c r="D26" s="92"/>
      <c r="E26" s="84"/>
      <c r="F26" s="227"/>
      <c r="G26" s="36"/>
      <c r="H26" s="34">
        <f>SUM(H16:H25)</f>
        <v>0</v>
      </c>
      <c r="I26" s="34">
        <f>'1.4 Vortriebsdauer Str_So HR'!D5</f>
        <v>188.5</v>
      </c>
      <c r="J26" s="34">
        <f>H26*I26</f>
        <v>0</v>
      </c>
    </row>
    <row r="27" spans="1:10" ht="6.75" customHeight="1">
      <c r="A27" s="12"/>
      <c r="B27" s="58"/>
      <c r="C27" s="59"/>
      <c r="D27" s="92"/>
      <c r="E27" s="84"/>
      <c r="F27" s="227"/>
      <c r="G27" s="36"/>
      <c r="H27" s="34"/>
      <c r="I27" s="34"/>
      <c r="J27" s="34"/>
    </row>
    <row r="28" spans="1:10" s="108" customFormat="1" ht="24">
      <c r="A28" s="107" t="s">
        <v>90</v>
      </c>
      <c r="B28" s="155" t="s">
        <v>63</v>
      </c>
      <c r="C28" s="80" t="s">
        <v>5</v>
      </c>
      <c r="D28" s="90">
        <f>35.46*$A$29</f>
        <v>92.196000000000012</v>
      </c>
      <c r="E28" s="84">
        <f>D28/$A$29</f>
        <v>35.46</v>
      </c>
      <c r="F28" s="228"/>
      <c r="G28" s="197"/>
      <c r="H28" s="35">
        <f>ROUND(E28*G28,2)</f>
        <v>0</v>
      </c>
      <c r="I28" s="121"/>
      <c r="J28" s="83"/>
    </row>
    <row r="29" spans="1:10" s="108" customFormat="1">
      <c r="A29" s="96">
        <f>'1.1 Vortriebsdauer Kalotte HR'!C7</f>
        <v>2.6</v>
      </c>
      <c r="B29" s="55" t="str">
        <f>'1.0a Rüstzeiten'!A9</f>
        <v>Rüsten Haupttunnel, Ausbruch Strosse/Sohle, sprengen</v>
      </c>
      <c r="C29" s="253" t="s">
        <v>49</v>
      </c>
      <c r="D29" s="254">
        <v>1</v>
      </c>
      <c r="E29" s="85">
        <f>D29/$A$29</f>
        <v>0.38461538461538458</v>
      </c>
      <c r="F29" s="225" t="s">
        <v>211</v>
      </c>
      <c r="G29" s="128">
        <f>ROUND('1.0a Rüstzeiten'!G9*'1.0 Allgemeines'!F$47/24,2)</f>
        <v>0</v>
      </c>
      <c r="H29" s="35">
        <f>ROUND(E29*G29,2)</f>
        <v>0</v>
      </c>
      <c r="I29" s="121"/>
      <c r="J29" s="83"/>
    </row>
    <row r="30" spans="1:10" s="108" customFormat="1">
      <c r="A30" s="107"/>
      <c r="B30" s="56" t="str">
        <f>'1.0a Rüstzeiten'!A18</f>
        <v>Rüsten Haupttunnel, Spritzbeton/Bewehrung Strosse/Sohle</v>
      </c>
      <c r="C30" s="102" t="s">
        <v>49</v>
      </c>
      <c r="D30" s="252">
        <v>1</v>
      </c>
      <c r="E30" s="83">
        <f>D30/$A$29</f>
        <v>0.38461538461538458</v>
      </c>
      <c r="F30" s="233" t="s">
        <v>211</v>
      </c>
      <c r="G30" s="30">
        <f>ROUND('1.0a Rüstzeiten'!G18*'1.0 Allgemeines'!F$47/24,2)</f>
        <v>0</v>
      </c>
      <c r="H30" s="74">
        <f>ROUND(E30*G30,2)</f>
        <v>0</v>
      </c>
      <c r="I30" s="121"/>
      <c r="J30" s="83"/>
    </row>
    <row r="31" spans="1:10" s="108" customFormat="1">
      <c r="A31" s="107"/>
      <c r="B31" s="156" t="str">
        <f>'1.0a Rüstzeiten'!A23</f>
        <v>Rüsten Haupttunnel, Ankern und Spießen  Strosse/Sohle</v>
      </c>
      <c r="C31" s="255" t="s">
        <v>49</v>
      </c>
      <c r="D31" s="124">
        <v>1</v>
      </c>
      <c r="E31" s="99">
        <f>D31/$A$29</f>
        <v>0.38461538461538458</v>
      </c>
      <c r="F31" s="259" t="s">
        <v>211</v>
      </c>
      <c r="G31" s="260">
        <f>ROUND('1.0a Rüstzeiten'!G23*'1.0 Allgemeines'!F$47/24,2)</f>
        <v>0</v>
      </c>
      <c r="H31" s="33">
        <f>ROUND(E31*G31,2)</f>
        <v>0</v>
      </c>
      <c r="I31" s="121"/>
      <c r="J31" s="83"/>
    </row>
    <row r="32" spans="1:10">
      <c r="A32" s="66"/>
      <c r="B32" s="72" t="s">
        <v>143</v>
      </c>
      <c r="C32" s="73" t="s">
        <v>6</v>
      </c>
      <c r="D32" s="91">
        <f>12.21*$A$29</f>
        <v>31.746000000000002</v>
      </c>
      <c r="E32" s="83">
        <f t="shared" ref="E32:E38" si="6">D32/$A$29</f>
        <v>12.21</v>
      </c>
      <c r="F32" s="226"/>
      <c r="G32" s="196"/>
      <c r="H32" s="74">
        <f t="shared" ref="H32:H38" si="7">ROUND(E32*G32,2)</f>
        <v>0</v>
      </c>
      <c r="I32" s="121"/>
      <c r="J32" s="83"/>
    </row>
    <row r="33" spans="1:10" s="108" customFormat="1">
      <c r="A33" s="110"/>
      <c r="B33" s="72" t="s">
        <v>61</v>
      </c>
      <c r="C33" s="73" t="s">
        <v>6</v>
      </c>
      <c r="D33" s="91">
        <f>16.69*$A$29</f>
        <v>43.394000000000005</v>
      </c>
      <c r="E33" s="83">
        <f t="shared" si="6"/>
        <v>16.690000000000001</v>
      </c>
      <c r="F33" s="226" t="str">
        <f t="shared" ref="F33:F38" si="8">A$4</f>
        <v>Strosse/Sohle 6A.1 HR
(ohne KSG)</v>
      </c>
      <c r="G33" s="83">
        <f t="shared" ref="G33:G38" si="9">G8</f>
        <v>0</v>
      </c>
      <c r="H33" s="74">
        <f t="shared" si="7"/>
        <v>0</v>
      </c>
      <c r="I33" s="121"/>
      <c r="J33" s="83"/>
    </row>
    <row r="34" spans="1:10" s="108" customFormat="1">
      <c r="A34" s="109"/>
      <c r="B34" s="72" t="s">
        <v>91</v>
      </c>
      <c r="C34" s="73" t="s">
        <v>379</v>
      </c>
      <c r="D34" s="91">
        <f>16.69*$A$29*4.12/1000</f>
        <v>0.17878328000000002</v>
      </c>
      <c r="E34" s="324">
        <f t="shared" si="6"/>
        <v>6.8762799999999999E-2</v>
      </c>
      <c r="F34" s="226" t="str">
        <f t="shared" si="8"/>
        <v>Strosse/Sohle 6A.1 HR
(ohne KSG)</v>
      </c>
      <c r="G34" s="83">
        <f t="shared" si="9"/>
        <v>0</v>
      </c>
      <c r="H34" s="74">
        <f t="shared" si="7"/>
        <v>0</v>
      </c>
      <c r="I34" s="121"/>
      <c r="J34" s="83"/>
    </row>
    <row r="35" spans="1:10" s="108" customFormat="1">
      <c r="A35" s="109"/>
      <c r="B35" s="72" t="s">
        <v>139</v>
      </c>
      <c r="C35" s="73" t="s">
        <v>379</v>
      </c>
      <c r="D35" s="91">
        <f>16.69*$A$29*4.12/1000</f>
        <v>0.17878328000000002</v>
      </c>
      <c r="E35" s="324">
        <f t="shared" si="6"/>
        <v>6.8762799999999999E-2</v>
      </c>
      <c r="F35" s="226" t="str">
        <f t="shared" si="8"/>
        <v>Strosse/Sohle 6A.1 HR
(ohne KSG)</v>
      </c>
      <c r="G35" s="83">
        <f t="shared" si="9"/>
        <v>0</v>
      </c>
      <c r="H35" s="74">
        <f t="shared" si="7"/>
        <v>0</v>
      </c>
      <c r="I35" s="121"/>
      <c r="J35" s="83"/>
    </row>
    <row r="36" spans="1:10" s="108" customFormat="1">
      <c r="A36" s="110"/>
      <c r="B36" s="72" t="s">
        <v>28</v>
      </c>
      <c r="C36" s="73" t="s">
        <v>379</v>
      </c>
      <c r="D36" s="91">
        <f>4.86*12.7/1000</f>
        <v>6.1721999999999999E-2</v>
      </c>
      <c r="E36" s="324">
        <f t="shared" si="6"/>
        <v>2.3739230769230769E-2</v>
      </c>
      <c r="F36" s="226" t="str">
        <f t="shared" si="8"/>
        <v>Strosse/Sohle 6A.1 HR
(ohne KSG)</v>
      </c>
      <c r="G36" s="83">
        <f t="shared" si="9"/>
        <v>0</v>
      </c>
      <c r="H36" s="74">
        <f>ROUND(E36*G36,2)</f>
        <v>0</v>
      </c>
      <c r="I36" s="121"/>
      <c r="J36" s="83"/>
    </row>
    <row r="37" spans="1:10" s="108" customFormat="1">
      <c r="A37" s="109"/>
      <c r="B37" s="72" t="s">
        <v>11</v>
      </c>
      <c r="C37" s="73" t="s">
        <v>49</v>
      </c>
      <c r="D37" s="91">
        <f>6</f>
        <v>6</v>
      </c>
      <c r="E37" s="83">
        <f t="shared" si="6"/>
        <v>2.3076923076923075</v>
      </c>
      <c r="F37" s="226" t="str">
        <f t="shared" si="8"/>
        <v>Strosse/Sohle 6A.1 HR
(ohne KSG)</v>
      </c>
      <c r="G37" s="83">
        <f t="shared" si="9"/>
        <v>0</v>
      </c>
      <c r="H37" s="74">
        <f t="shared" si="7"/>
        <v>0</v>
      </c>
      <c r="I37" s="121"/>
      <c r="J37" s="83"/>
    </row>
    <row r="38" spans="1:10" s="108" customFormat="1">
      <c r="A38" s="109"/>
      <c r="B38" s="72" t="s">
        <v>13</v>
      </c>
      <c r="C38" s="73" t="s">
        <v>6</v>
      </c>
      <c r="D38" s="124">
        <f>35.46</f>
        <v>35.46</v>
      </c>
      <c r="E38" s="83">
        <f t="shared" si="6"/>
        <v>13.638461538461538</v>
      </c>
      <c r="F38" s="226" t="str">
        <f t="shared" si="8"/>
        <v>Strosse/Sohle 6A.1 HR
(ohne KSG)</v>
      </c>
      <c r="G38" s="83">
        <f t="shared" si="9"/>
        <v>0</v>
      </c>
      <c r="H38" s="74">
        <f t="shared" si="7"/>
        <v>0</v>
      </c>
      <c r="I38" s="121"/>
      <c r="J38" s="83"/>
    </row>
    <row r="39" spans="1:10" s="108" customFormat="1">
      <c r="A39" s="111"/>
      <c r="B39" s="58" t="s">
        <v>12</v>
      </c>
      <c r="C39" s="59"/>
      <c r="D39" s="92"/>
      <c r="E39" s="84"/>
      <c r="F39" s="227"/>
      <c r="G39" s="84"/>
      <c r="H39" s="123">
        <f>SUM(H28:H38)</f>
        <v>0</v>
      </c>
      <c r="I39" s="123">
        <f>'1.4 Vortriebsdauer Str_So HR'!D6</f>
        <v>27.1</v>
      </c>
      <c r="J39" s="123">
        <f>H39*I39</f>
        <v>0</v>
      </c>
    </row>
    <row r="40" spans="1:10" ht="6.75" customHeight="1">
      <c r="A40" s="12"/>
      <c r="B40" s="58"/>
      <c r="C40" s="59"/>
      <c r="D40" s="94"/>
      <c r="E40" s="84"/>
      <c r="F40" s="227"/>
      <c r="G40" s="36"/>
      <c r="H40" s="34"/>
      <c r="I40" s="33"/>
      <c r="J40" s="33"/>
    </row>
    <row r="41" spans="1:10" ht="24">
      <c r="A41" s="6" t="s">
        <v>86</v>
      </c>
      <c r="B41" s="55" t="s">
        <v>262</v>
      </c>
      <c r="C41" s="60" t="s">
        <v>5</v>
      </c>
      <c r="D41" s="95">
        <f>46.57*$A$42*0.78</f>
        <v>94.443960000000004</v>
      </c>
      <c r="E41" s="84">
        <f>D41/$A$42</f>
        <v>36.324600000000004</v>
      </c>
      <c r="F41" s="228"/>
      <c r="G41" s="197"/>
      <c r="H41" s="35">
        <f>ROUND(E41*G41,2)</f>
        <v>0</v>
      </c>
      <c r="I41" s="35"/>
      <c r="J41" s="65"/>
    </row>
    <row r="42" spans="1:10" ht="24">
      <c r="A42" s="96">
        <f>'1.1 Vortriebsdauer Kalotte HR'!C8*2</f>
        <v>2.6</v>
      </c>
      <c r="B42" s="155" t="s">
        <v>263</v>
      </c>
      <c r="C42" s="59" t="s">
        <v>5</v>
      </c>
      <c r="D42" s="95">
        <f>46.57*$A$42*0.22</f>
        <v>26.63804</v>
      </c>
      <c r="E42" s="84">
        <f t="shared" ref="E42:E52" si="10">D42/$A$42</f>
        <v>10.2454</v>
      </c>
      <c r="F42" s="226"/>
      <c r="G42" s="195"/>
      <c r="H42" s="74">
        <f t="shared" ref="H42:H52" si="11">ROUND(E42*G42,2)</f>
        <v>0</v>
      </c>
      <c r="I42" s="74"/>
      <c r="J42" s="70"/>
    </row>
    <row r="43" spans="1:10">
      <c r="A43" s="266"/>
      <c r="B43" s="55" t="str">
        <f>'1.0a Rüstzeiten'!A9</f>
        <v>Rüsten Haupttunnel, Ausbruch Strosse/Sohle, sprengen</v>
      </c>
      <c r="C43" s="253" t="s">
        <v>49</v>
      </c>
      <c r="D43" s="254">
        <v>0.78</v>
      </c>
      <c r="E43" s="85">
        <f>D43/$A$42</f>
        <v>0.3</v>
      </c>
      <c r="F43" s="225" t="s">
        <v>211</v>
      </c>
      <c r="G43" s="128">
        <f>ROUND('1.0a Rüstzeiten'!G9*'1.0 Allgemeines'!F$48/24,2)</f>
        <v>0</v>
      </c>
      <c r="H43" s="35">
        <f t="shared" si="11"/>
        <v>0</v>
      </c>
      <c r="I43" s="74"/>
      <c r="J43" s="70"/>
    </row>
    <row r="44" spans="1:10">
      <c r="A44" s="266"/>
      <c r="B44" s="56" t="str">
        <f>'1.0a Rüstzeiten'!A10</f>
        <v>Rüsten Haupttunnel, Ausbruch Strosse/Sohle, mechan. Lösen</v>
      </c>
      <c r="C44" s="102" t="s">
        <v>49</v>
      </c>
      <c r="D44" s="252">
        <v>0.22</v>
      </c>
      <c r="E44" s="83">
        <f>D44/$A$42</f>
        <v>8.4615384615384606E-2</v>
      </c>
      <c r="F44" s="233" t="s">
        <v>211</v>
      </c>
      <c r="G44" s="30">
        <f>ROUND('1.0a Rüstzeiten'!G10*'1.0 Allgemeines'!F$48/24,2)</f>
        <v>0</v>
      </c>
      <c r="H44" s="74">
        <f>ROUND(E44*G44,2)</f>
        <v>0</v>
      </c>
      <c r="I44" s="74"/>
      <c r="J44" s="70"/>
    </row>
    <row r="45" spans="1:10">
      <c r="A45" s="266"/>
      <c r="B45" s="56" t="str">
        <f>'1.0a Rüstzeiten'!A18</f>
        <v>Rüsten Haupttunnel, Spritzbeton/Bewehrung Strosse/Sohle</v>
      </c>
      <c r="C45" s="102" t="s">
        <v>49</v>
      </c>
      <c r="D45" s="252">
        <v>1</v>
      </c>
      <c r="E45" s="83">
        <f>D45/$A$42</f>
        <v>0.38461538461538458</v>
      </c>
      <c r="F45" s="233" t="s">
        <v>211</v>
      </c>
      <c r="G45" s="30">
        <f>ROUND('1.0a Rüstzeiten'!G18*'1.0 Allgemeines'!F$48/24,2)</f>
        <v>0</v>
      </c>
      <c r="H45" s="74">
        <f t="shared" si="11"/>
        <v>0</v>
      </c>
      <c r="I45" s="74"/>
      <c r="J45" s="70"/>
    </row>
    <row r="46" spans="1:10">
      <c r="A46" s="266"/>
      <c r="B46" s="156" t="str">
        <f>'1.0a Rüstzeiten'!A23</f>
        <v>Rüsten Haupttunnel, Ankern und Spießen  Strosse/Sohle</v>
      </c>
      <c r="C46" s="255" t="s">
        <v>49</v>
      </c>
      <c r="D46" s="124">
        <v>1</v>
      </c>
      <c r="E46" s="99">
        <f>D46/$A$42</f>
        <v>0.38461538461538458</v>
      </c>
      <c r="F46" s="259" t="s">
        <v>211</v>
      </c>
      <c r="G46" s="260">
        <f>ROUND('1.0a Rüstzeiten'!G23*'1.0 Allgemeines'!F$48/24,2)</f>
        <v>0</v>
      </c>
      <c r="H46" s="33">
        <f t="shared" si="11"/>
        <v>0</v>
      </c>
      <c r="I46" s="74"/>
      <c r="J46" s="70"/>
    </row>
    <row r="47" spans="1:10">
      <c r="A47" s="76"/>
      <c r="B47" s="72" t="s">
        <v>64</v>
      </c>
      <c r="C47" s="73" t="s">
        <v>6</v>
      </c>
      <c r="D47" s="91">
        <f>16.75*$A$42</f>
        <v>43.550000000000004</v>
      </c>
      <c r="E47" s="83">
        <f t="shared" si="10"/>
        <v>16.75</v>
      </c>
      <c r="F47" s="226" t="s">
        <v>212</v>
      </c>
      <c r="G47" s="195"/>
      <c r="H47" s="74">
        <f t="shared" si="11"/>
        <v>0</v>
      </c>
      <c r="I47" s="74"/>
      <c r="J47" s="70"/>
    </row>
    <row r="48" spans="1:10">
      <c r="A48" s="71"/>
      <c r="B48" s="72" t="s">
        <v>282</v>
      </c>
      <c r="C48" s="73" t="s">
        <v>379</v>
      </c>
      <c r="D48" s="91">
        <f>16.75*$A$42*5.38/1000</f>
        <v>0.23429900000000001</v>
      </c>
      <c r="E48" s="324">
        <f>D48/$A$42</f>
        <v>9.0115000000000001E-2</v>
      </c>
      <c r="F48" s="226" t="s">
        <v>212</v>
      </c>
      <c r="G48" s="196"/>
      <c r="H48" s="74">
        <f t="shared" si="11"/>
        <v>0</v>
      </c>
      <c r="I48" s="74"/>
      <c r="J48" s="70"/>
    </row>
    <row r="49" spans="1:10">
      <c r="A49" s="71"/>
      <c r="B49" s="72" t="s">
        <v>283</v>
      </c>
      <c r="C49" s="73" t="s">
        <v>379</v>
      </c>
      <c r="D49" s="91">
        <f>16.75*$A$42*5.38/1000</f>
        <v>0.23429900000000001</v>
      </c>
      <c r="E49" s="324">
        <f t="shared" si="10"/>
        <v>9.0115000000000001E-2</v>
      </c>
      <c r="F49" s="226" t="s">
        <v>212</v>
      </c>
      <c r="G49" s="196"/>
      <c r="H49" s="74">
        <f t="shared" si="11"/>
        <v>0</v>
      </c>
      <c r="I49" s="74"/>
      <c r="J49" s="70"/>
    </row>
    <row r="50" spans="1:10">
      <c r="A50" s="71"/>
      <c r="B50" s="72" t="s">
        <v>32</v>
      </c>
      <c r="C50" s="73" t="s">
        <v>379</v>
      </c>
      <c r="D50" s="91">
        <f>4.85*12.9/1000</f>
        <v>6.2564999999999996E-2</v>
      </c>
      <c r="E50" s="324">
        <f t="shared" si="10"/>
        <v>2.4063461538461537E-2</v>
      </c>
      <c r="F50" s="226" t="s">
        <v>212</v>
      </c>
      <c r="G50" s="195"/>
      <c r="H50" s="74">
        <f t="shared" si="11"/>
        <v>0</v>
      </c>
      <c r="I50" s="74"/>
      <c r="J50" s="70"/>
    </row>
    <row r="51" spans="1:10">
      <c r="A51" s="71"/>
      <c r="B51" s="72" t="s">
        <v>11</v>
      </c>
      <c r="C51" s="73" t="s">
        <v>49</v>
      </c>
      <c r="D51" s="91">
        <f>6</f>
        <v>6</v>
      </c>
      <c r="E51" s="83">
        <f t="shared" si="10"/>
        <v>2.3076923076923075</v>
      </c>
      <c r="F51" s="226" t="str">
        <f>A$4</f>
        <v>Strosse/Sohle 6A.1 HR
(ohne KSG)</v>
      </c>
      <c r="G51" s="83">
        <f>G12</f>
        <v>0</v>
      </c>
      <c r="H51" s="74">
        <f t="shared" si="11"/>
        <v>0</v>
      </c>
      <c r="I51" s="74"/>
      <c r="J51" s="70"/>
    </row>
    <row r="52" spans="1:10">
      <c r="A52" s="71"/>
      <c r="B52" s="72" t="s">
        <v>13</v>
      </c>
      <c r="C52" s="73" t="s">
        <v>6</v>
      </c>
      <c r="D52" s="91">
        <f>46.57</f>
        <v>46.57</v>
      </c>
      <c r="E52" s="83">
        <f t="shared" si="10"/>
        <v>17.911538461538463</v>
      </c>
      <c r="F52" s="226" t="str">
        <f>A$4</f>
        <v>Strosse/Sohle 6A.1 HR
(ohne KSG)</v>
      </c>
      <c r="G52" s="83">
        <f>G13</f>
        <v>0</v>
      </c>
      <c r="H52" s="74">
        <f t="shared" si="11"/>
        <v>0</v>
      </c>
      <c r="I52" s="74"/>
      <c r="J52" s="70"/>
    </row>
    <row r="53" spans="1:10">
      <c r="A53" s="12"/>
      <c r="B53" s="58" t="s">
        <v>12</v>
      </c>
      <c r="C53" s="59"/>
      <c r="D53" s="95"/>
      <c r="E53" s="84"/>
      <c r="F53" s="227"/>
      <c r="G53" s="36"/>
      <c r="H53" s="34">
        <f>SUM(H41:H52)</f>
        <v>0</v>
      </c>
      <c r="I53" s="34">
        <f>'1.4 Vortriebsdauer Str_So HR'!D7</f>
        <v>75</v>
      </c>
      <c r="J53" s="34">
        <f>H53*I53</f>
        <v>0</v>
      </c>
    </row>
    <row r="54" spans="1:10" s="108" customFormat="1" ht="6.75" customHeight="1">
      <c r="A54" s="111"/>
      <c r="B54" s="58"/>
      <c r="C54" s="59"/>
      <c r="D54" s="94"/>
      <c r="E54" s="84"/>
      <c r="F54" s="227"/>
      <c r="G54" s="112"/>
      <c r="H54" s="113"/>
      <c r="I54" s="116"/>
      <c r="J54" s="116"/>
    </row>
    <row r="55" spans="1:10" s="108" customFormat="1" ht="24">
      <c r="A55" s="107" t="s">
        <v>89</v>
      </c>
      <c r="B55" s="56" t="s">
        <v>262</v>
      </c>
      <c r="C55" s="73" t="s">
        <v>5</v>
      </c>
      <c r="D55" s="95">
        <f>36.06*$A$56*0.78</f>
        <v>73.129680000000008</v>
      </c>
      <c r="E55" s="84">
        <f t="shared" ref="E55:E60" si="12">D55/$A$56</f>
        <v>28.126800000000003</v>
      </c>
      <c r="F55" s="226"/>
      <c r="G55" s="196"/>
      <c r="H55" s="35">
        <f>ROUND(E55*G55,2)</f>
        <v>0</v>
      </c>
      <c r="I55" s="121"/>
      <c r="J55" s="83"/>
    </row>
    <row r="56" spans="1:10" s="108" customFormat="1" ht="24">
      <c r="A56" s="96">
        <f>'1.1 Vortriebsdauer Kalotte HR'!C9</f>
        <v>2.6</v>
      </c>
      <c r="B56" s="155" t="s">
        <v>263</v>
      </c>
      <c r="C56" s="59" t="s">
        <v>5</v>
      </c>
      <c r="D56" s="95">
        <f>36.06*$A$56*0.22</f>
        <v>20.626320000000003</v>
      </c>
      <c r="E56" s="84">
        <f t="shared" si="12"/>
        <v>7.9332000000000011</v>
      </c>
      <c r="F56" s="226"/>
      <c r="G56" s="196"/>
      <c r="H56" s="74">
        <f t="shared" ref="H56:H67" si="13">ROUND(E56*G56,2)</f>
        <v>0</v>
      </c>
      <c r="I56" s="121"/>
      <c r="J56" s="83"/>
    </row>
    <row r="57" spans="1:10" s="108" customFormat="1">
      <c r="A57" s="96"/>
      <c r="B57" s="55" t="str">
        <f>'1.0a Rüstzeiten'!A9</f>
        <v>Rüsten Haupttunnel, Ausbruch Strosse/Sohle, sprengen</v>
      </c>
      <c r="C57" s="253" t="s">
        <v>49</v>
      </c>
      <c r="D57" s="254">
        <v>0.78</v>
      </c>
      <c r="E57" s="85">
        <f t="shared" si="12"/>
        <v>0.3</v>
      </c>
      <c r="F57" s="225" t="s">
        <v>211</v>
      </c>
      <c r="G57" s="128">
        <f>ROUND('1.0a Rüstzeiten'!G9*'1.0 Allgemeines'!F$49/24,2)</f>
        <v>0</v>
      </c>
      <c r="H57" s="35">
        <f t="shared" si="13"/>
        <v>0</v>
      </c>
      <c r="I57" s="121"/>
      <c r="J57" s="83"/>
    </row>
    <row r="58" spans="1:10" s="108" customFormat="1">
      <c r="A58" s="96"/>
      <c r="B58" s="56" t="str">
        <f>'1.0a Rüstzeiten'!A10</f>
        <v>Rüsten Haupttunnel, Ausbruch Strosse/Sohle, mechan. Lösen</v>
      </c>
      <c r="C58" s="102" t="s">
        <v>49</v>
      </c>
      <c r="D58" s="252">
        <v>0.22</v>
      </c>
      <c r="E58" s="83">
        <f t="shared" si="12"/>
        <v>8.4615384615384606E-2</v>
      </c>
      <c r="F58" s="233" t="s">
        <v>211</v>
      </c>
      <c r="G58" s="30">
        <f>ROUND('1.0a Rüstzeiten'!G10*'1.0 Allgemeines'!F$49/24,2)</f>
        <v>0</v>
      </c>
      <c r="H58" s="74">
        <f t="shared" si="13"/>
        <v>0</v>
      </c>
      <c r="I58" s="121"/>
      <c r="J58" s="83"/>
    </row>
    <row r="59" spans="1:10" s="108" customFormat="1">
      <c r="A59" s="96"/>
      <c r="B59" s="56" t="str">
        <f>'1.0a Rüstzeiten'!A18</f>
        <v>Rüsten Haupttunnel, Spritzbeton/Bewehrung Strosse/Sohle</v>
      </c>
      <c r="C59" s="102" t="s">
        <v>49</v>
      </c>
      <c r="D59" s="252">
        <v>1</v>
      </c>
      <c r="E59" s="83">
        <f t="shared" si="12"/>
        <v>0.38461538461538458</v>
      </c>
      <c r="F59" s="233" t="s">
        <v>211</v>
      </c>
      <c r="G59" s="30">
        <f>ROUND('1.0a Rüstzeiten'!G18*'1.0 Allgemeines'!F$49/24,2)</f>
        <v>0</v>
      </c>
      <c r="H59" s="74">
        <f t="shared" si="13"/>
        <v>0</v>
      </c>
      <c r="I59" s="121"/>
      <c r="J59" s="83"/>
    </row>
    <row r="60" spans="1:10" s="108" customFormat="1">
      <c r="A60" s="96"/>
      <c r="B60" s="156" t="str">
        <f>'1.0a Rüstzeiten'!A23</f>
        <v>Rüsten Haupttunnel, Ankern und Spießen  Strosse/Sohle</v>
      </c>
      <c r="C60" s="255" t="s">
        <v>49</v>
      </c>
      <c r="D60" s="124">
        <v>1</v>
      </c>
      <c r="E60" s="99">
        <f t="shared" si="12"/>
        <v>0.38461538461538458</v>
      </c>
      <c r="F60" s="259" t="s">
        <v>211</v>
      </c>
      <c r="G60" s="260">
        <f>ROUND('1.0a Rüstzeiten'!G23*'1.0 Allgemeines'!F$49/24,2)</f>
        <v>0</v>
      </c>
      <c r="H60" s="33">
        <f t="shared" si="13"/>
        <v>0</v>
      </c>
      <c r="I60" s="121"/>
      <c r="J60" s="83"/>
    </row>
    <row r="61" spans="1:10" s="108" customFormat="1">
      <c r="A61" s="109"/>
      <c r="B61" s="72" t="s">
        <v>92</v>
      </c>
      <c r="C61" s="73" t="s">
        <v>6</v>
      </c>
      <c r="D61" s="91">
        <f>12.32*$A$56</f>
        <v>32.032000000000004</v>
      </c>
      <c r="E61" s="83">
        <f t="shared" ref="E61:E67" si="14">D61/$A$56</f>
        <v>12.32</v>
      </c>
      <c r="F61" s="226"/>
      <c r="G61" s="196"/>
      <c r="H61" s="74">
        <f t="shared" si="13"/>
        <v>0</v>
      </c>
      <c r="I61" s="121"/>
      <c r="J61" s="83"/>
    </row>
    <row r="62" spans="1:10" s="108" customFormat="1">
      <c r="A62" s="117"/>
      <c r="B62" s="72" t="s">
        <v>64</v>
      </c>
      <c r="C62" s="73" t="s">
        <v>6</v>
      </c>
      <c r="D62" s="91">
        <f>16.75*$A$56</f>
        <v>43.550000000000004</v>
      </c>
      <c r="E62" s="83">
        <f t="shared" si="14"/>
        <v>16.75</v>
      </c>
      <c r="F62" s="226" t="str">
        <f>A$41</f>
        <v>Strosse/Sohle 7A.1 HR
(ohne KSG)</v>
      </c>
      <c r="G62" s="83">
        <f>G47</f>
        <v>0</v>
      </c>
      <c r="H62" s="74">
        <f t="shared" si="13"/>
        <v>0</v>
      </c>
      <c r="I62" s="121"/>
      <c r="J62" s="83"/>
    </row>
    <row r="63" spans="1:10" s="108" customFormat="1">
      <c r="A63" s="109"/>
      <c r="B63" s="72" t="s">
        <v>282</v>
      </c>
      <c r="C63" s="73" t="s">
        <v>379</v>
      </c>
      <c r="D63" s="91">
        <f>16.75*$A$56*5.38/1000</f>
        <v>0.23429900000000001</v>
      </c>
      <c r="E63" s="324">
        <f t="shared" si="14"/>
        <v>9.0115000000000001E-2</v>
      </c>
      <c r="F63" s="226" t="str">
        <f>A$41</f>
        <v>Strosse/Sohle 7A.1 HR
(ohne KSG)</v>
      </c>
      <c r="G63" s="83">
        <f>G48</f>
        <v>0</v>
      </c>
      <c r="H63" s="74">
        <f t="shared" si="13"/>
        <v>0</v>
      </c>
      <c r="I63" s="121"/>
      <c r="J63" s="83"/>
    </row>
    <row r="64" spans="1:10" s="108" customFormat="1">
      <c r="A64" s="109"/>
      <c r="B64" s="72" t="s">
        <v>283</v>
      </c>
      <c r="C64" s="73" t="s">
        <v>379</v>
      </c>
      <c r="D64" s="91">
        <f>16.75*$A$56*5.38/1000</f>
        <v>0.23429900000000001</v>
      </c>
      <c r="E64" s="324">
        <f t="shared" si="14"/>
        <v>9.0115000000000001E-2</v>
      </c>
      <c r="F64" s="226" t="str">
        <f>A$41</f>
        <v>Strosse/Sohle 7A.1 HR
(ohne KSG)</v>
      </c>
      <c r="G64" s="83">
        <f>G49</f>
        <v>0</v>
      </c>
      <c r="H64" s="74">
        <f t="shared" si="13"/>
        <v>0</v>
      </c>
      <c r="I64" s="121"/>
      <c r="J64" s="83"/>
    </row>
    <row r="65" spans="1:10" s="108" customFormat="1">
      <c r="A65" s="109"/>
      <c r="B65" s="72" t="s">
        <v>32</v>
      </c>
      <c r="C65" s="73" t="s">
        <v>379</v>
      </c>
      <c r="D65" s="91">
        <f>4.85*12.9/1000</f>
        <v>6.2564999999999996E-2</v>
      </c>
      <c r="E65" s="324">
        <f t="shared" si="14"/>
        <v>2.4063461538461537E-2</v>
      </c>
      <c r="F65" s="226" t="str">
        <f>A$41</f>
        <v>Strosse/Sohle 7A.1 HR
(ohne KSG)</v>
      </c>
      <c r="G65" s="83">
        <f>G50</f>
        <v>0</v>
      </c>
      <c r="H65" s="74">
        <f t="shared" si="13"/>
        <v>0</v>
      </c>
      <c r="I65" s="121"/>
      <c r="J65" s="83"/>
    </row>
    <row r="66" spans="1:10" s="108" customFormat="1">
      <c r="A66" s="109"/>
      <c r="B66" s="72" t="s">
        <v>11</v>
      </c>
      <c r="C66" s="73" t="s">
        <v>49</v>
      </c>
      <c r="D66" s="91">
        <f>6</f>
        <v>6</v>
      </c>
      <c r="E66" s="83">
        <f t="shared" si="14"/>
        <v>2.3076923076923075</v>
      </c>
      <c r="F66" s="226" t="str">
        <f>A$4</f>
        <v>Strosse/Sohle 6A.1 HR
(ohne KSG)</v>
      </c>
      <c r="G66" s="83">
        <f>G12</f>
        <v>0</v>
      </c>
      <c r="H66" s="74">
        <f t="shared" si="13"/>
        <v>0</v>
      </c>
      <c r="I66" s="121"/>
      <c r="J66" s="83"/>
    </row>
    <row r="67" spans="1:10" s="108" customFormat="1">
      <c r="A67" s="109"/>
      <c r="B67" s="72" t="s">
        <v>13</v>
      </c>
      <c r="C67" s="73" t="s">
        <v>6</v>
      </c>
      <c r="D67" s="91">
        <f>36.06</f>
        <v>36.06</v>
      </c>
      <c r="E67" s="83">
        <f t="shared" si="14"/>
        <v>13.86923076923077</v>
      </c>
      <c r="F67" s="226" t="str">
        <f>A$4</f>
        <v>Strosse/Sohle 6A.1 HR
(ohne KSG)</v>
      </c>
      <c r="G67" s="83">
        <f>G13</f>
        <v>0</v>
      </c>
      <c r="H67" s="74">
        <f t="shared" si="13"/>
        <v>0</v>
      </c>
      <c r="I67" s="121"/>
      <c r="J67" s="83"/>
    </row>
    <row r="68" spans="1:10" s="108" customFormat="1">
      <c r="A68" s="111"/>
      <c r="B68" s="58" t="s">
        <v>12</v>
      </c>
      <c r="C68" s="59"/>
      <c r="D68" s="95"/>
      <c r="E68" s="84"/>
      <c r="F68" s="227"/>
      <c r="G68" s="84"/>
      <c r="H68" s="123">
        <f>SUM(H55:H67)</f>
        <v>0</v>
      </c>
      <c r="I68" s="123">
        <f>'1.4 Vortriebsdauer Str_So HR'!D8</f>
        <v>51.4</v>
      </c>
      <c r="J68" s="123">
        <f>H68*I68</f>
        <v>0</v>
      </c>
    </row>
    <row r="69" spans="1:10" ht="6.75" customHeight="1">
      <c r="A69" s="111"/>
      <c r="B69" s="77"/>
      <c r="C69" s="60"/>
      <c r="D69" s="95"/>
      <c r="E69" s="85"/>
      <c r="F69" s="228"/>
      <c r="G69" s="65"/>
      <c r="H69" s="35"/>
      <c r="I69" s="34"/>
      <c r="J69" s="34"/>
    </row>
    <row r="70" spans="1:10" ht="24">
      <c r="A70" s="107" t="s">
        <v>87</v>
      </c>
      <c r="B70" s="55" t="s">
        <v>264</v>
      </c>
      <c r="C70" s="60" t="s">
        <v>5</v>
      </c>
      <c r="D70" s="95">
        <f>(46.57)*$A$71*0.49</f>
        <v>45.638599999999997</v>
      </c>
      <c r="E70" s="85">
        <f t="shared" ref="E70:E81" si="15">D70/$A$71</f>
        <v>22.819299999999998</v>
      </c>
      <c r="F70" s="228"/>
      <c r="G70" s="197"/>
      <c r="H70" s="35">
        <f>ROUND(E70*G70,2)</f>
        <v>0</v>
      </c>
      <c r="I70" s="74"/>
      <c r="J70" s="70"/>
    </row>
    <row r="71" spans="1:10" ht="24">
      <c r="A71" s="97">
        <f>'1.1 Vortriebsdauer Kalotte HR'!C10*2</f>
        <v>2</v>
      </c>
      <c r="B71" s="155" t="s">
        <v>265</v>
      </c>
      <c r="C71" s="59" t="s">
        <v>5</v>
      </c>
      <c r="D71" s="95">
        <f>(46.57)*$A$71*0.51</f>
        <v>47.501400000000004</v>
      </c>
      <c r="E71" s="84">
        <f t="shared" si="15"/>
        <v>23.750700000000002</v>
      </c>
      <c r="F71" s="226"/>
      <c r="G71" s="195"/>
      <c r="H71" s="74">
        <f t="shared" ref="H71:H81" si="16">ROUND(E71*G71,2)</f>
        <v>0</v>
      </c>
      <c r="I71" s="74"/>
      <c r="J71" s="70"/>
    </row>
    <row r="72" spans="1:10">
      <c r="A72" s="126"/>
      <c r="B72" s="55" t="str">
        <f>'1.0a Rüstzeiten'!A9</f>
        <v>Rüsten Haupttunnel, Ausbruch Strosse/Sohle, sprengen</v>
      </c>
      <c r="C72" s="253" t="s">
        <v>49</v>
      </c>
      <c r="D72" s="254">
        <v>0.49</v>
      </c>
      <c r="E72" s="85">
        <f>D72/$A$71</f>
        <v>0.245</v>
      </c>
      <c r="F72" s="225" t="s">
        <v>211</v>
      </c>
      <c r="G72" s="128">
        <f>ROUND('1.0a Rüstzeiten'!G9*'1.0 Allgemeines'!F$50/24,2)</f>
        <v>0</v>
      </c>
      <c r="H72" s="35">
        <f t="shared" si="16"/>
        <v>0</v>
      </c>
      <c r="I72" s="74"/>
      <c r="J72" s="70"/>
    </row>
    <row r="73" spans="1:10">
      <c r="A73" s="126"/>
      <c r="B73" s="56" t="str">
        <f>'1.0a Rüstzeiten'!A10</f>
        <v>Rüsten Haupttunnel, Ausbruch Strosse/Sohle, mechan. Lösen</v>
      </c>
      <c r="C73" s="102" t="s">
        <v>49</v>
      </c>
      <c r="D73" s="252">
        <v>0.51</v>
      </c>
      <c r="E73" s="83">
        <f>D73/$A$71</f>
        <v>0.255</v>
      </c>
      <c r="F73" s="233" t="s">
        <v>211</v>
      </c>
      <c r="G73" s="30">
        <f>ROUND('1.0a Rüstzeiten'!G10*'1.0 Allgemeines'!F$50/24,2)</f>
        <v>0</v>
      </c>
      <c r="H73" s="74">
        <f t="shared" si="16"/>
        <v>0</v>
      </c>
      <c r="I73" s="74"/>
      <c r="J73" s="70"/>
    </row>
    <row r="74" spans="1:10">
      <c r="A74" s="126"/>
      <c r="B74" s="56" t="str">
        <f>'1.0a Rüstzeiten'!A18</f>
        <v>Rüsten Haupttunnel, Spritzbeton/Bewehrung Strosse/Sohle</v>
      </c>
      <c r="C74" s="102" t="s">
        <v>49</v>
      </c>
      <c r="D74" s="252">
        <v>1</v>
      </c>
      <c r="E74" s="83">
        <f>D74/$A$71</f>
        <v>0.5</v>
      </c>
      <c r="F74" s="233" t="s">
        <v>211</v>
      </c>
      <c r="G74" s="30">
        <f>ROUND('1.0a Rüstzeiten'!G18*'1.0 Allgemeines'!F$50/24,2)</f>
        <v>0</v>
      </c>
      <c r="H74" s="74">
        <f t="shared" si="16"/>
        <v>0</v>
      </c>
      <c r="I74" s="74"/>
      <c r="J74" s="70"/>
    </row>
    <row r="75" spans="1:10">
      <c r="A75" s="126"/>
      <c r="B75" s="156" t="str">
        <f>'1.0a Rüstzeiten'!A23</f>
        <v>Rüsten Haupttunnel, Ankern und Spießen  Strosse/Sohle</v>
      </c>
      <c r="C75" s="255" t="s">
        <v>49</v>
      </c>
      <c r="D75" s="124">
        <v>1</v>
      </c>
      <c r="E75" s="99">
        <f>D75/$A$71</f>
        <v>0.5</v>
      </c>
      <c r="F75" s="259" t="s">
        <v>211</v>
      </c>
      <c r="G75" s="260">
        <f>ROUND('1.0a Rüstzeiten'!G23*'1.0 Allgemeines'!F$50/24,2)</f>
        <v>0</v>
      </c>
      <c r="H75" s="33">
        <f t="shared" si="16"/>
        <v>0</v>
      </c>
      <c r="I75" s="74"/>
      <c r="J75" s="70"/>
    </row>
    <row r="76" spans="1:10">
      <c r="A76" s="76"/>
      <c r="B76" s="72" t="s">
        <v>64</v>
      </c>
      <c r="C76" s="73" t="s">
        <v>6</v>
      </c>
      <c r="D76" s="91">
        <f>16.75*$A$71</f>
        <v>33.5</v>
      </c>
      <c r="E76" s="83">
        <f t="shared" si="15"/>
        <v>16.75</v>
      </c>
      <c r="F76" s="226" t="str">
        <f>A$41</f>
        <v>Strosse/Sohle 7A.1 HR
(ohne KSG)</v>
      </c>
      <c r="G76" s="70">
        <f>G47</f>
        <v>0</v>
      </c>
      <c r="H76" s="74">
        <f t="shared" si="16"/>
        <v>0</v>
      </c>
      <c r="I76" s="74"/>
      <c r="J76" s="70"/>
    </row>
    <row r="77" spans="1:10">
      <c r="A77" s="71"/>
      <c r="B77" s="72" t="s">
        <v>282</v>
      </c>
      <c r="C77" s="73" t="s">
        <v>379</v>
      </c>
      <c r="D77" s="91">
        <f>16.75*$A$71*5.38/1000</f>
        <v>0.18023</v>
      </c>
      <c r="E77" s="324">
        <f t="shared" si="15"/>
        <v>9.0115000000000001E-2</v>
      </c>
      <c r="F77" s="226" t="str">
        <f>A$41</f>
        <v>Strosse/Sohle 7A.1 HR
(ohne KSG)</v>
      </c>
      <c r="G77" s="70">
        <f>G48</f>
        <v>0</v>
      </c>
      <c r="H77" s="74">
        <f t="shared" si="16"/>
        <v>0</v>
      </c>
      <c r="I77" s="74"/>
      <c r="J77" s="70"/>
    </row>
    <row r="78" spans="1:10">
      <c r="A78" s="71"/>
      <c r="B78" s="72" t="s">
        <v>283</v>
      </c>
      <c r="C78" s="73" t="s">
        <v>379</v>
      </c>
      <c r="D78" s="91">
        <f>16.75*$A$71*5.38/1000</f>
        <v>0.18023</v>
      </c>
      <c r="E78" s="324">
        <f t="shared" si="15"/>
        <v>9.0115000000000001E-2</v>
      </c>
      <c r="F78" s="226" t="str">
        <f>A$41</f>
        <v>Strosse/Sohle 7A.1 HR
(ohne KSG)</v>
      </c>
      <c r="G78" s="70">
        <f>G49</f>
        <v>0</v>
      </c>
      <c r="H78" s="74">
        <f t="shared" si="16"/>
        <v>0</v>
      </c>
      <c r="I78" s="74"/>
      <c r="J78" s="70"/>
    </row>
    <row r="79" spans="1:10">
      <c r="A79" s="71"/>
      <c r="B79" s="72" t="s">
        <v>32</v>
      </c>
      <c r="C79" s="73" t="s">
        <v>379</v>
      </c>
      <c r="D79" s="91">
        <f>4.85*12.9/1000</f>
        <v>6.2564999999999996E-2</v>
      </c>
      <c r="E79" s="324">
        <f t="shared" si="15"/>
        <v>3.1282499999999998E-2</v>
      </c>
      <c r="F79" s="226" t="str">
        <f>A$41</f>
        <v>Strosse/Sohle 7A.1 HR
(ohne KSG)</v>
      </c>
      <c r="G79" s="70">
        <f>G50</f>
        <v>0</v>
      </c>
      <c r="H79" s="74">
        <f t="shared" si="16"/>
        <v>0</v>
      </c>
      <c r="I79" s="74"/>
      <c r="J79" s="70"/>
    </row>
    <row r="80" spans="1:10">
      <c r="A80" s="71"/>
      <c r="B80" s="72" t="s">
        <v>25</v>
      </c>
      <c r="C80" s="73" t="s">
        <v>49</v>
      </c>
      <c r="D80" s="91">
        <f>6</f>
        <v>6</v>
      </c>
      <c r="E80" s="83">
        <f t="shared" si="15"/>
        <v>3</v>
      </c>
      <c r="F80" s="226" t="s">
        <v>212</v>
      </c>
      <c r="G80" s="195"/>
      <c r="H80" s="74">
        <f t="shared" si="16"/>
        <v>0</v>
      </c>
      <c r="I80" s="74"/>
      <c r="J80" s="70"/>
    </row>
    <row r="81" spans="1:10">
      <c r="A81" s="71"/>
      <c r="B81" s="72" t="s">
        <v>13</v>
      </c>
      <c r="C81" s="73" t="s">
        <v>6</v>
      </c>
      <c r="D81" s="91">
        <f>46.57</f>
        <v>46.57</v>
      </c>
      <c r="E81" s="83">
        <f t="shared" si="15"/>
        <v>23.285</v>
      </c>
      <c r="F81" s="226" t="str">
        <f>A$4</f>
        <v>Strosse/Sohle 6A.1 HR
(ohne KSG)</v>
      </c>
      <c r="G81" s="70">
        <f>G13</f>
        <v>0</v>
      </c>
      <c r="H81" s="74">
        <f t="shared" si="16"/>
        <v>0</v>
      </c>
      <c r="I81" s="74"/>
      <c r="J81" s="70"/>
    </row>
    <row r="82" spans="1:10">
      <c r="A82" s="11"/>
      <c r="B82" s="77" t="s">
        <v>12</v>
      </c>
      <c r="C82" s="60"/>
      <c r="D82" s="95"/>
      <c r="E82" s="85"/>
      <c r="F82" s="228"/>
      <c r="G82" s="65"/>
      <c r="H82" s="35">
        <f>SUM(H70:H81)</f>
        <v>0</v>
      </c>
      <c r="I82" s="35">
        <f>'1.4 Vortriebsdauer Str_So HR'!D9</f>
        <v>22.200000000000003</v>
      </c>
      <c r="J82" s="34">
        <f>H82*I82</f>
        <v>0</v>
      </c>
    </row>
    <row r="83" spans="1:10" s="108" customFormat="1" ht="6.75" customHeight="1">
      <c r="A83" s="111"/>
      <c r="B83" s="58"/>
      <c r="C83" s="59"/>
      <c r="D83" s="95"/>
      <c r="E83" s="84"/>
      <c r="F83" s="227"/>
      <c r="G83" s="112"/>
      <c r="H83" s="113"/>
      <c r="I83" s="113"/>
      <c r="J83" s="113"/>
    </row>
    <row r="84" spans="1:10" s="108" customFormat="1" ht="24">
      <c r="A84" s="107" t="s">
        <v>88</v>
      </c>
      <c r="B84" s="55" t="s">
        <v>264</v>
      </c>
      <c r="C84" s="60" t="s">
        <v>5</v>
      </c>
      <c r="D84" s="95">
        <f>(36.06)*$A$85*0.49</f>
        <v>35.338799999999999</v>
      </c>
      <c r="E84" s="85">
        <f t="shared" ref="E84:E96" si="17">D84/$A$85</f>
        <v>17.6694</v>
      </c>
      <c r="F84" s="228"/>
      <c r="G84" s="198"/>
      <c r="H84" s="35">
        <f>ROUND(E84*G84,2)</f>
        <v>0</v>
      </c>
      <c r="I84" s="121"/>
      <c r="J84" s="83"/>
    </row>
    <row r="85" spans="1:10" s="108" customFormat="1" ht="24">
      <c r="A85" s="97">
        <f>'1.1 Vortriebsdauer Kalotte HR'!C11</f>
        <v>2</v>
      </c>
      <c r="B85" s="155" t="s">
        <v>265</v>
      </c>
      <c r="C85" s="59" t="s">
        <v>5</v>
      </c>
      <c r="D85" s="95">
        <f>(36.06)*$A$85*0.51</f>
        <v>36.781200000000005</v>
      </c>
      <c r="E85" s="84">
        <f t="shared" si="17"/>
        <v>18.390600000000003</v>
      </c>
      <c r="F85" s="226"/>
      <c r="G85" s="196"/>
      <c r="H85" s="74">
        <f t="shared" ref="H85:H96" si="18">ROUND(E85*G85,2)</f>
        <v>0</v>
      </c>
      <c r="I85" s="121"/>
      <c r="J85" s="83"/>
    </row>
    <row r="86" spans="1:10" s="108" customFormat="1">
      <c r="A86" s="97"/>
      <c r="B86" s="55" t="str">
        <f>'1.0a Rüstzeiten'!A9</f>
        <v>Rüsten Haupttunnel, Ausbruch Strosse/Sohle, sprengen</v>
      </c>
      <c r="C86" s="253" t="s">
        <v>49</v>
      </c>
      <c r="D86" s="254">
        <v>0.49</v>
      </c>
      <c r="E86" s="85">
        <f>D86/$A$85</f>
        <v>0.245</v>
      </c>
      <c r="F86" s="225" t="s">
        <v>211</v>
      </c>
      <c r="G86" s="128">
        <f>ROUND('1.0a Rüstzeiten'!G9*'1.0 Allgemeines'!F$51/24,2)</f>
        <v>0</v>
      </c>
      <c r="H86" s="35">
        <f t="shared" si="18"/>
        <v>0</v>
      </c>
      <c r="I86" s="121"/>
      <c r="J86" s="83"/>
    </row>
    <row r="87" spans="1:10" s="108" customFormat="1">
      <c r="A87" s="97"/>
      <c r="B87" s="56" t="str">
        <f>'1.0a Rüstzeiten'!A10</f>
        <v>Rüsten Haupttunnel, Ausbruch Strosse/Sohle, mechan. Lösen</v>
      </c>
      <c r="C87" s="102" t="s">
        <v>49</v>
      </c>
      <c r="D87" s="252">
        <v>0.51</v>
      </c>
      <c r="E87" s="83">
        <f>D87/$A$85</f>
        <v>0.255</v>
      </c>
      <c r="F87" s="233" t="s">
        <v>211</v>
      </c>
      <c r="G87" s="30">
        <f>ROUND('1.0a Rüstzeiten'!G10*'1.0 Allgemeines'!F$51/24,2)</f>
        <v>0</v>
      </c>
      <c r="H87" s="74">
        <f t="shared" si="18"/>
        <v>0</v>
      </c>
      <c r="I87" s="121"/>
      <c r="J87" s="83"/>
    </row>
    <row r="88" spans="1:10" s="108" customFormat="1">
      <c r="A88" s="97"/>
      <c r="B88" s="56" t="str">
        <f>'1.0a Rüstzeiten'!A18</f>
        <v>Rüsten Haupttunnel, Spritzbeton/Bewehrung Strosse/Sohle</v>
      </c>
      <c r="C88" s="102" t="s">
        <v>49</v>
      </c>
      <c r="D88" s="252">
        <v>1</v>
      </c>
      <c r="E88" s="83">
        <f>D88/$A$85</f>
        <v>0.5</v>
      </c>
      <c r="F88" s="233" t="s">
        <v>211</v>
      </c>
      <c r="G88" s="30">
        <f>ROUND('1.0a Rüstzeiten'!G18*'1.0 Allgemeines'!F$51/24,2)</f>
        <v>0</v>
      </c>
      <c r="H88" s="74">
        <f t="shared" si="18"/>
        <v>0</v>
      </c>
      <c r="I88" s="121"/>
      <c r="J88" s="83"/>
    </row>
    <row r="89" spans="1:10" s="108" customFormat="1">
      <c r="A89" s="314"/>
      <c r="B89" s="155" t="str">
        <f>'1.0a Rüstzeiten'!A23</f>
        <v>Rüsten Haupttunnel, Ankern und Spießen  Strosse/Sohle</v>
      </c>
      <c r="C89" s="80" t="s">
        <v>49</v>
      </c>
      <c r="D89" s="90">
        <v>1</v>
      </c>
      <c r="E89" s="84">
        <f>D89/$A$85</f>
        <v>0.5</v>
      </c>
      <c r="F89" s="234" t="s">
        <v>211</v>
      </c>
      <c r="G89" s="315">
        <f>ROUND('1.0a Rüstzeiten'!G23*'1.0 Allgemeines'!F$51/24,2)</f>
        <v>0</v>
      </c>
      <c r="H89" s="34">
        <f t="shared" si="18"/>
        <v>0</v>
      </c>
      <c r="I89" s="120"/>
      <c r="J89" s="85"/>
    </row>
    <row r="90" spans="1:10">
      <c r="A90" s="109"/>
      <c r="B90" s="72" t="s">
        <v>92</v>
      </c>
      <c r="C90" s="73" t="s">
        <v>6</v>
      </c>
      <c r="D90" s="91">
        <f>12.32*$A$85</f>
        <v>24.64</v>
      </c>
      <c r="E90" s="83">
        <f t="shared" si="17"/>
        <v>12.32</v>
      </c>
      <c r="F90" s="226" t="str">
        <f>A55</f>
        <v>Strosse/Sohle 7A.1 HR
(mit KSG)</v>
      </c>
      <c r="G90" s="83">
        <f>G61</f>
        <v>0</v>
      </c>
      <c r="H90" s="74">
        <f t="shared" si="18"/>
        <v>0</v>
      </c>
      <c r="I90" s="121"/>
      <c r="J90" s="83"/>
    </row>
    <row r="91" spans="1:10" s="108" customFormat="1">
      <c r="A91" s="117"/>
      <c r="B91" s="72" t="s">
        <v>64</v>
      </c>
      <c r="C91" s="73" t="s">
        <v>6</v>
      </c>
      <c r="D91" s="91">
        <f>16.75*$A$71</f>
        <v>33.5</v>
      </c>
      <c r="E91" s="83">
        <f t="shared" si="17"/>
        <v>16.75</v>
      </c>
      <c r="F91" s="226" t="str">
        <f>A$41</f>
        <v>Strosse/Sohle 7A.1 HR
(ohne KSG)</v>
      </c>
      <c r="G91" s="83">
        <f>G47</f>
        <v>0</v>
      </c>
      <c r="H91" s="74">
        <f t="shared" si="18"/>
        <v>0</v>
      </c>
      <c r="I91" s="121"/>
      <c r="J91" s="83"/>
    </row>
    <row r="92" spans="1:10" s="108" customFormat="1">
      <c r="A92" s="109"/>
      <c r="B92" s="72" t="s">
        <v>282</v>
      </c>
      <c r="C92" s="73" t="s">
        <v>379</v>
      </c>
      <c r="D92" s="91">
        <f>16.75*$A$71*5.38/1000</f>
        <v>0.18023</v>
      </c>
      <c r="E92" s="324">
        <f t="shared" si="17"/>
        <v>9.0115000000000001E-2</v>
      </c>
      <c r="F92" s="226" t="str">
        <f>A$41</f>
        <v>Strosse/Sohle 7A.1 HR
(ohne KSG)</v>
      </c>
      <c r="G92" s="83">
        <f>G48</f>
        <v>0</v>
      </c>
      <c r="H92" s="74">
        <f t="shared" si="18"/>
        <v>0</v>
      </c>
      <c r="I92" s="121"/>
      <c r="J92" s="83"/>
    </row>
    <row r="93" spans="1:10" s="108" customFormat="1">
      <c r="A93" s="109"/>
      <c r="B93" s="72" t="s">
        <v>283</v>
      </c>
      <c r="C93" s="73" t="s">
        <v>379</v>
      </c>
      <c r="D93" s="91">
        <f>16.75*$A$71*5.38/1000</f>
        <v>0.18023</v>
      </c>
      <c r="E93" s="324">
        <f t="shared" si="17"/>
        <v>9.0115000000000001E-2</v>
      </c>
      <c r="F93" s="226" t="str">
        <f>A$41</f>
        <v>Strosse/Sohle 7A.1 HR
(ohne KSG)</v>
      </c>
      <c r="G93" s="83">
        <f>G49</f>
        <v>0</v>
      </c>
      <c r="H93" s="74">
        <f t="shared" si="18"/>
        <v>0</v>
      </c>
      <c r="I93" s="121"/>
      <c r="J93" s="83"/>
    </row>
    <row r="94" spans="1:10" s="108" customFormat="1">
      <c r="A94" s="109"/>
      <c r="B94" s="72" t="s">
        <v>32</v>
      </c>
      <c r="C94" s="73" t="s">
        <v>379</v>
      </c>
      <c r="D94" s="91">
        <f>4.85*12.9/1000</f>
        <v>6.2564999999999996E-2</v>
      </c>
      <c r="E94" s="324">
        <f t="shared" si="17"/>
        <v>3.1282499999999998E-2</v>
      </c>
      <c r="F94" s="226" t="str">
        <f>A$41</f>
        <v>Strosse/Sohle 7A.1 HR
(ohne KSG)</v>
      </c>
      <c r="G94" s="83">
        <f>G50</f>
        <v>0</v>
      </c>
      <c r="H94" s="74">
        <f t="shared" si="18"/>
        <v>0</v>
      </c>
      <c r="I94" s="121"/>
      <c r="J94" s="83"/>
    </row>
    <row r="95" spans="1:10" s="108" customFormat="1">
      <c r="A95" s="109"/>
      <c r="B95" s="72" t="s">
        <v>25</v>
      </c>
      <c r="C95" s="73" t="s">
        <v>49</v>
      </c>
      <c r="D95" s="91">
        <f>6</f>
        <v>6</v>
      </c>
      <c r="E95" s="83">
        <f t="shared" si="17"/>
        <v>3</v>
      </c>
      <c r="F95" s="226" t="str">
        <f>A$70</f>
        <v>Strosse/Sohle 7A.2 HR
(ohne KSG)</v>
      </c>
      <c r="G95" s="83">
        <f>G80</f>
        <v>0</v>
      </c>
      <c r="H95" s="74">
        <f t="shared" si="18"/>
        <v>0</v>
      </c>
      <c r="I95" s="121"/>
      <c r="J95" s="83"/>
    </row>
    <row r="96" spans="1:10" s="108" customFormat="1">
      <c r="A96" s="109"/>
      <c r="B96" s="72" t="s">
        <v>13</v>
      </c>
      <c r="C96" s="73" t="s">
        <v>6</v>
      </c>
      <c r="D96" s="91">
        <f>36.06</f>
        <v>36.06</v>
      </c>
      <c r="E96" s="83">
        <f t="shared" si="17"/>
        <v>18.03</v>
      </c>
      <c r="F96" s="226" t="str">
        <f>A$4</f>
        <v>Strosse/Sohle 6A.1 HR
(ohne KSG)</v>
      </c>
      <c r="G96" s="83">
        <f>G13</f>
        <v>0</v>
      </c>
      <c r="H96" s="74">
        <f t="shared" si="18"/>
        <v>0</v>
      </c>
      <c r="I96" s="121"/>
      <c r="J96" s="83"/>
    </row>
    <row r="97" spans="1:10" s="108" customFormat="1">
      <c r="A97" s="118"/>
      <c r="B97" s="77" t="s">
        <v>12</v>
      </c>
      <c r="C97" s="60"/>
      <c r="D97" s="95"/>
      <c r="E97" s="85"/>
      <c r="F97" s="228"/>
      <c r="G97" s="85"/>
      <c r="H97" s="120">
        <f>SUM(H84:H96)</f>
        <v>0</v>
      </c>
      <c r="I97" s="120">
        <f>'1.4 Vortriebsdauer Str_So HR'!D10</f>
        <v>55.8</v>
      </c>
      <c r="J97" s="123">
        <f>H97*I97</f>
        <v>0</v>
      </c>
    </row>
    <row r="98" spans="1:10" ht="7.15" customHeight="1">
      <c r="A98" s="12"/>
      <c r="B98" s="58"/>
      <c r="C98" s="59"/>
      <c r="D98" s="95"/>
      <c r="E98" s="84"/>
      <c r="F98" s="227"/>
      <c r="G98" s="36"/>
      <c r="H98" s="34"/>
      <c r="I98" s="34"/>
      <c r="J98" s="36"/>
    </row>
    <row r="99" spans="1:10" ht="24">
      <c r="A99" s="107" t="s">
        <v>93</v>
      </c>
      <c r="B99" s="56" t="s">
        <v>284</v>
      </c>
      <c r="C99" s="73" t="s">
        <v>5</v>
      </c>
      <c r="D99" s="95">
        <f>(37.18)*$A$100*0.77</f>
        <v>57.257199999999997</v>
      </c>
      <c r="E99" s="83">
        <f>D99/$A$100</f>
        <v>28.628599999999999</v>
      </c>
      <c r="F99" s="226"/>
      <c r="G99" s="195"/>
      <c r="H99" s="35">
        <f>ROUND(E99*G99,2)</f>
        <v>0</v>
      </c>
      <c r="I99" s="74"/>
      <c r="J99" s="70"/>
    </row>
    <row r="100" spans="1:10" ht="24">
      <c r="A100" s="97">
        <f>'1.1 Vortriebsdauer Kalotte HR'!C12*2</f>
        <v>2</v>
      </c>
      <c r="B100" s="155" t="s">
        <v>285</v>
      </c>
      <c r="C100" s="59" t="s">
        <v>5</v>
      </c>
      <c r="D100" s="95">
        <f>(37.18)*$A$100*0.23</f>
        <v>17.102800000000002</v>
      </c>
      <c r="E100" s="84">
        <f t="shared" ref="E100:E111" si="19">D100/$A$100</f>
        <v>8.551400000000001</v>
      </c>
      <c r="F100" s="226"/>
      <c r="G100" s="195"/>
      <c r="H100" s="74">
        <f t="shared" ref="H100:H111" si="20">ROUND(E100*G100,2)</f>
        <v>0</v>
      </c>
      <c r="I100" s="74"/>
      <c r="J100" s="70"/>
    </row>
    <row r="101" spans="1:10">
      <c r="A101" s="126"/>
      <c r="B101" s="55" t="str">
        <f>'1.0a Rüstzeiten'!A9</f>
        <v>Rüsten Haupttunnel, Ausbruch Strosse/Sohle, sprengen</v>
      </c>
      <c r="C101" s="253" t="s">
        <v>49</v>
      </c>
      <c r="D101" s="254">
        <v>0.77</v>
      </c>
      <c r="E101" s="85">
        <f>D101/$A$100</f>
        <v>0.38500000000000001</v>
      </c>
      <c r="F101" s="225" t="s">
        <v>211</v>
      </c>
      <c r="G101" s="128">
        <f>ROUND('1.0a Rüstzeiten'!G9*'1.0 Allgemeines'!F$51/24,2)</f>
        <v>0</v>
      </c>
      <c r="H101" s="35">
        <f t="shared" si="20"/>
        <v>0</v>
      </c>
      <c r="I101" s="74"/>
      <c r="J101" s="70"/>
    </row>
    <row r="102" spans="1:10">
      <c r="A102" s="126"/>
      <c r="B102" s="56" t="str">
        <f>'1.0a Rüstzeiten'!A10</f>
        <v>Rüsten Haupttunnel, Ausbruch Strosse/Sohle, mechan. Lösen</v>
      </c>
      <c r="C102" s="102" t="s">
        <v>49</v>
      </c>
      <c r="D102" s="252">
        <v>0.23</v>
      </c>
      <c r="E102" s="83">
        <f>D102/$A$100</f>
        <v>0.115</v>
      </c>
      <c r="F102" s="233" t="s">
        <v>211</v>
      </c>
      <c r="G102" s="30">
        <f>ROUND('1.0a Rüstzeiten'!G10*'1.0 Allgemeines'!F$51/24,2)</f>
        <v>0</v>
      </c>
      <c r="H102" s="74">
        <f t="shared" si="20"/>
        <v>0</v>
      </c>
      <c r="I102" s="74"/>
      <c r="J102" s="70"/>
    </row>
    <row r="103" spans="1:10">
      <c r="A103" s="126"/>
      <c r="B103" s="56" t="str">
        <f>'1.0a Rüstzeiten'!A18</f>
        <v>Rüsten Haupttunnel, Spritzbeton/Bewehrung Strosse/Sohle</v>
      </c>
      <c r="C103" s="102" t="s">
        <v>49</v>
      </c>
      <c r="D103" s="252">
        <v>1</v>
      </c>
      <c r="E103" s="83">
        <f>D103/$A$100</f>
        <v>0.5</v>
      </c>
      <c r="F103" s="233" t="s">
        <v>211</v>
      </c>
      <c r="G103" s="30">
        <f>ROUND('1.0a Rüstzeiten'!G18*'1.0 Allgemeines'!F$51/24,2)</f>
        <v>0</v>
      </c>
      <c r="H103" s="74">
        <f t="shared" si="20"/>
        <v>0</v>
      </c>
      <c r="I103" s="74"/>
      <c r="J103" s="70"/>
    </row>
    <row r="104" spans="1:10">
      <c r="A104" s="126"/>
      <c r="B104" s="156" t="str">
        <f>'1.0a Rüstzeiten'!A23</f>
        <v>Rüsten Haupttunnel, Ankern und Spießen  Strosse/Sohle</v>
      </c>
      <c r="C104" s="255" t="s">
        <v>49</v>
      </c>
      <c r="D104" s="124">
        <v>1</v>
      </c>
      <c r="E104" s="99">
        <f>D104/$A$100</f>
        <v>0.5</v>
      </c>
      <c r="F104" s="259" t="s">
        <v>211</v>
      </c>
      <c r="G104" s="260">
        <f>ROUND('1.0a Rüstzeiten'!G23*'1.0 Allgemeines'!F$51/24,2)</f>
        <v>0</v>
      </c>
      <c r="H104" s="33">
        <f t="shared" si="20"/>
        <v>0</v>
      </c>
      <c r="I104" s="74"/>
      <c r="J104" s="70"/>
    </row>
    <row r="105" spans="1:10">
      <c r="A105" s="126"/>
      <c r="B105" s="72" t="s">
        <v>92</v>
      </c>
      <c r="C105" s="73" t="s">
        <v>6</v>
      </c>
      <c r="D105" s="91">
        <f>13.14*$A$100</f>
        <v>26.28</v>
      </c>
      <c r="E105" s="83">
        <f>D105/$A$100</f>
        <v>13.14</v>
      </c>
      <c r="F105" s="226" t="str">
        <f>A70</f>
        <v>Strosse/Sohle 7A.2 HR
(ohne KSG)</v>
      </c>
      <c r="G105" s="70">
        <f>G61</f>
        <v>0</v>
      </c>
      <c r="H105" s="74">
        <f t="shared" si="20"/>
        <v>0</v>
      </c>
      <c r="I105" s="74"/>
      <c r="J105" s="70"/>
    </row>
    <row r="106" spans="1:10">
      <c r="A106" s="76"/>
      <c r="B106" s="72" t="s">
        <v>64</v>
      </c>
      <c r="C106" s="73" t="s">
        <v>6</v>
      </c>
      <c r="D106" s="91">
        <f>17.02*$A$100</f>
        <v>34.04</v>
      </c>
      <c r="E106" s="83">
        <f t="shared" si="19"/>
        <v>17.02</v>
      </c>
      <c r="F106" s="226" t="str">
        <f>A$41</f>
        <v>Strosse/Sohle 7A.1 HR
(ohne KSG)</v>
      </c>
      <c r="G106" s="70">
        <f>G47</f>
        <v>0</v>
      </c>
      <c r="H106" s="74">
        <f t="shared" si="20"/>
        <v>0</v>
      </c>
      <c r="I106" s="74"/>
      <c r="J106" s="70"/>
    </row>
    <row r="107" spans="1:10">
      <c r="A107" s="71"/>
      <c r="B107" s="72" t="s">
        <v>282</v>
      </c>
      <c r="C107" s="73" t="s">
        <v>379</v>
      </c>
      <c r="D107" s="91">
        <f>17.02*5.38/1000</f>
        <v>9.1567599999999999E-2</v>
      </c>
      <c r="E107" s="324">
        <f>D107/$A$100</f>
        <v>4.5783799999999999E-2</v>
      </c>
      <c r="F107" s="226" t="str">
        <f>A$41</f>
        <v>Strosse/Sohle 7A.1 HR
(ohne KSG)</v>
      </c>
      <c r="G107" s="70">
        <f>G48</f>
        <v>0</v>
      </c>
      <c r="H107" s="74">
        <f t="shared" si="20"/>
        <v>0</v>
      </c>
      <c r="I107" s="74"/>
      <c r="J107" s="70"/>
    </row>
    <row r="108" spans="1:10">
      <c r="A108" s="71"/>
      <c r="B108" s="72" t="s">
        <v>283</v>
      </c>
      <c r="C108" s="73" t="s">
        <v>379</v>
      </c>
      <c r="D108" s="91">
        <f>17.02*5.38/1000</f>
        <v>9.1567599999999999E-2</v>
      </c>
      <c r="E108" s="324">
        <f t="shared" si="19"/>
        <v>4.5783799999999999E-2</v>
      </c>
      <c r="F108" s="226" t="str">
        <f>A$41</f>
        <v>Strosse/Sohle 7A.1 HR
(ohne KSG)</v>
      </c>
      <c r="G108" s="70">
        <f>G49</f>
        <v>0</v>
      </c>
      <c r="H108" s="74">
        <f t="shared" si="20"/>
        <v>0</v>
      </c>
      <c r="I108" s="74"/>
      <c r="J108" s="70"/>
    </row>
    <row r="109" spans="1:10">
      <c r="A109" s="71"/>
      <c r="B109" s="72" t="s">
        <v>32</v>
      </c>
      <c r="C109" s="73" t="s">
        <v>379</v>
      </c>
      <c r="D109" s="91">
        <f>5.03*12.9/1000</f>
        <v>6.4887E-2</v>
      </c>
      <c r="E109" s="324">
        <f t="shared" si="19"/>
        <v>3.24435E-2</v>
      </c>
      <c r="F109" s="226" t="str">
        <f>A$41</f>
        <v>Strosse/Sohle 7A.1 HR
(ohne KSG)</v>
      </c>
      <c r="G109" s="70">
        <f>G50</f>
        <v>0</v>
      </c>
      <c r="H109" s="74">
        <f t="shared" si="20"/>
        <v>0</v>
      </c>
      <c r="I109" s="74"/>
      <c r="J109" s="70"/>
    </row>
    <row r="110" spans="1:10">
      <c r="A110" s="71"/>
      <c r="B110" s="72" t="s">
        <v>25</v>
      </c>
      <c r="C110" s="73" t="s">
        <v>49</v>
      </c>
      <c r="D110" s="91">
        <f>6</f>
        <v>6</v>
      </c>
      <c r="E110" s="83">
        <f t="shared" si="19"/>
        <v>3</v>
      </c>
      <c r="F110" s="226" t="str">
        <f>A$70</f>
        <v>Strosse/Sohle 7A.2 HR
(ohne KSG)</v>
      </c>
      <c r="G110" s="70">
        <f>G80</f>
        <v>0</v>
      </c>
      <c r="H110" s="74">
        <f t="shared" si="20"/>
        <v>0</v>
      </c>
      <c r="I110" s="74"/>
      <c r="J110" s="70"/>
    </row>
    <row r="111" spans="1:10">
      <c r="A111" s="71"/>
      <c r="B111" s="72" t="s">
        <v>13</v>
      </c>
      <c r="C111" s="73" t="s">
        <v>6</v>
      </c>
      <c r="D111" s="91">
        <f>37.18</f>
        <v>37.18</v>
      </c>
      <c r="E111" s="83">
        <f t="shared" si="19"/>
        <v>18.59</v>
      </c>
      <c r="F111" s="226" t="str">
        <f>A$4</f>
        <v>Strosse/Sohle 6A.1 HR
(ohne KSG)</v>
      </c>
      <c r="G111" s="70">
        <f>G13</f>
        <v>0</v>
      </c>
      <c r="H111" s="74">
        <f t="shared" si="20"/>
        <v>0</v>
      </c>
      <c r="I111" s="74"/>
      <c r="J111" s="70"/>
    </row>
    <row r="112" spans="1:10">
      <c r="A112" s="11"/>
      <c r="B112" s="77" t="s">
        <v>12</v>
      </c>
      <c r="C112" s="60"/>
      <c r="D112" s="129"/>
      <c r="E112" s="85"/>
      <c r="F112" s="228"/>
      <c r="G112" s="65"/>
      <c r="H112" s="35">
        <f>SUM(H99:H111)</f>
        <v>0</v>
      </c>
      <c r="I112" s="35">
        <f>'1.4 Vortriebsdauer Str_So HR'!D11</f>
        <v>110.19999999999999</v>
      </c>
      <c r="J112" s="35">
        <f>H112*I112</f>
        <v>0</v>
      </c>
    </row>
    <row r="113" spans="1:10" ht="11.25" customHeight="1">
      <c r="A113" s="389" t="s">
        <v>95</v>
      </c>
      <c r="B113" s="390"/>
      <c r="C113" s="62"/>
      <c r="D113" s="130"/>
      <c r="E113" s="86"/>
      <c r="F113" s="229"/>
      <c r="G113" s="51"/>
      <c r="H113" s="51"/>
      <c r="I113" s="51"/>
      <c r="J113" s="52"/>
    </row>
    <row r="114" spans="1:10" ht="18" customHeight="1">
      <c r="A114" s="391"/>
      <c r="B114" s="392"/>
      <c r="C114" s="63"/>
      <c r="D114" s="131"/>
      <c r="E114" s="87"/>
      <c r="F114" s="230"/>
      <c r="G114" s="39"/>
      <c r="H114" s="39"/>
      <c r="I114" s="39"/>
      <c r="J114" s="98">
        <f>SUM(J4:J112)</f>
        <v>0</v>
      </c>
    </row>
    <row r="115" spans="1:10" ht="18" customHeight="1">
      <c r="A115" s="282"/>
      <c r="B115" s="282"/>
      <c r="C115" s="283"/>
      <c r="D115" s="284"/>
      <c r="E115" s="285"/>
      <c r="F115" s="286"/>
      <c r="G115" s="287"/>
      <c r="H115" s="287"/>
      <c r="I115" s="287"/>
      <c r="J115" s="288"/>
    </row>
    <row r="116" spans="1:10" ht="73.5" customHeight="1">
      <c r="A116" s="371" t="s">
        <v>362</v>
      </c>
      <c r="B116" s="371"/>
      <c r="C116" s="371"/>
      <c r="D116" s="371"/>
      <c r="E116" s="371"/>
      <c r="F116" s="371"/>
      <c r="G116" s="371"/>
      <c r="H116" s="371"/>
      <c r="I116" s="371"/>
      <c r="J116" s="371"/>
    </row>
    <row r="119" spans="1:10" ht="40.5" customHeight="1"/>
  </sheetData>
  <sheetProtection algorithmName="SHA-512" hashValue="uCIGUKs47CCAm866i5kdiqz95UHqlcso9scRDLYP/I9ig4KBbcjhLASVGPsAlj6s+I/X/PzQEBabkt29aOjl6w==" saltValue="jLzxnf5nisIg3HLIYwNrUw==" spinCount="100000" sheet="1" objects="1" scenarios="1"/>
  <autoFilter ref="A3:J114" xr:uid="{75D40C32-02F8-44D7-928D-62DE63CF90B0}"/>
  <mergeCells count="4">
    <mergeCell ref="A2:E2"/>
    <mergeCell ref="G2:J2"/>
    <mergeCell ref="A113:B114"/>
    <mergeCell ref="A116:J116"/>
  </mergeCells>
  <conditionalFormatting sqref="A1:J2 A3:E3 A4:J4 B8:E8 A9:E13 A14:J16 B20:J20 A21:J28 B32:J32 A33:J42 A47:E50 A51:J56 A61:J71 A76:J79 A80:E80 A81:J85 A90:J100 A105:J116">
    <cfRule type="expression" dxfId="66" priority="1">
      <formula>CELL("Schutz",A1)=0</formula>
    </cfRule>
  </conditionalFormatting>
  <conditionalFormatting sqref="B5:H7">
    <cfRule type="expression" dxfId="65" priority="35">
      <formula>CELL("Schutz",B5)=0</formula>
    </cfRule>
  </conditionalFormatting>
  <conditionalFormatting sqref="B17:H19">
    <cfRule type="expression" dxfId="64" priority="32">
      <formula>CELL("Schutz",B17)=0</formula>
    </cfRule>
  </conditionalFormatting>
  <conditionalFormatting sqref="B29:H31">
    <cfRule type="expression" dxfId="63" priority="26">
      <formula>CELL("Schutz",B29)=0</formula>
    </cfRule>
  </conditionalFormatting>
  <conditionalFormatting sqref="B43:H46">
    <cfRule type="expression" dxfId="62" priority="16">
      <formula>CELL("Schutz",B43)=0</formula>
    </cfRule>
  </conditionalFormatting>
  <conditionalFormatting sqref="B57:H60">
    <cfRule type="expression" dxfId="61" priority="13">
      <formula>CELL("Schutz",B57)=0</formula>
    </cfRule>
  </conditionalFormatting>
  <conditionalFormatting sqref="B72:H75">
    <cfRule type="expression" dxfId="60" priority="10">
      <formula>CELL("Schutz",B72)=0</formula>
    </cfRule>
  </conditionalFormatting>
  <conditionalFormatting sqref="B86:H89">
    <cfRule type="expression" dxfId="59" priority="6">
      <formula>CELL("Schutz",B86)=0</formula>
    </cfRule>
  </conditionalFormatting>
  <conditionalFormatting sqref="B101:H104">
    <cfRule type="expression" dxfId="58" priority="3">
      <formula>CELL("Schutz",B101)=0</formula>
    </cfRule>
  </conditionalFormatting>
  <conditionalFormatting sqref="F8:F13">
    <cfRule type="expression" dxfId="57" priority="20">
      <formula>CELL("Schutz",F8)=0</formula>
    </cfRule>
  </conditionalFormatting>
  <conditionalFormatting sqref="F47:F50">
    <cfRule type="expression" dxfId="56" priority="19">
      <formula>CELL("Schutz",F47)=0</formula>
    </cfRule>
  </conditionalFormatting>
  <conditionalFormatting sqref="F80">
    <cfRule type="expression" dxfId="55" priority="9">
      <formula>CELL("Schutz",F80)=0</formula>
    </cfRule>
  </conditionalFormatting>
  <conditionalFormatting sqref="F3:H3">
    <cfRule type="expression" dxfId="54" priority="37">
      <formula>CELL("Schutz",F3)=0</formula>
    </cfRule>
  </conditionalFormatting>
  <conditionalFormatting sqref="I3:J3 A5:A7 I5:J7 G8:J13 A17:A19 I17:J19 A29:A31 I29:J31 A43:A46 I43:J46 G47:J50 A57:A60 I57:J60 A72:A75 I72:J75 G80:J80 A86:A89 I86:J89 A101:A104 I101:J104">
    <cfRule type="expression" dxfId="53" priority="43">
      <formula>CELL("Schutz",A3)=0</formula>
    </cfRule>
  </conditionalFormatting>
  <dataValidations count="1">
    <dataValidation type="custom" errorStyle="warning" allowBlank="1" showInputMessage="1" showErrorMessage="1" error="Nur zwei Nachkommastellen zulässig!" sqref="G4:G111" xr:uid="{4E7D563E-0172-4E3E-9782-D3A0C5FF9355}">
      <formula1>MOD(G4*(10^2),1)&lt;(10^-10)</formula1>
    </dataValidation>
  </dataValidations>
  <pageMargins left="0.70866141732283472" right="0.70866141732283472" top="0.78740157480314965" bottom="0.78740157480314965" header="0.31496062992125984" footer="0.31496062992125984"/>
  <pageSetup paperSize="9" scale="68" fitToHeight="0" orientation="landscape" useFirstPageNumber="1" r:id="rId1"/>
  <headerFooter>
    <oddHeader>&amp;L&amp;"Arial,Fett"&amp;10Bieterangaben zeitgebundene Kosten Tunnel Kauerndorf
Unterlage 01.03-1.5 Ermittlung der Lohnstunden Strosse/Sohle Hauptröhre
&amp;R&amp;9...................................................
Bieter</oddHeader>
    <oddFooter>&amp;R&amp;9&amp;A
Blattseite &amp;P</oddFooter>
  </headerFooter>
  <rowBreaks count="1" manualBreakCount="1">
    <brk id="4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499984740745262"/>
  </sheetPr>
  <dimension ref="A2:C7"/>
  <sheetViews>
    <sheetView showGridLines="0" view="pageBreakPreview" zoomScaleNormal="100" zoomScaleSheetLayoutView="100" workbookViewId="0">
      <selection activeCell="A10" sqref="A10:F10"/>
    </sheetView>
  </sheetViews>
  <sheetFormatPr baseColWidth="10" defaultRowHeight="14.25"/>
  <cols>
    <col min="1" max="1" width="5" customWidth="1"/>
    <col min="2" max="2" width="70.875" customWidth="1"/>
    <col min="3" max="3" width="14" customWidth="1"/>
  </cols>
  <sheetData>
    <row r="2" spans="1:3">
      <c r="A2" s="18"/>
      <c r="B2" s="19"/>
      <c r="C2" s="404" t="s">
        <v>17</v>
      </c>
    </row>
    <row r="3" spans="1:3">
      <c r="A3" s="20"/>
      <c r="B3" s="21"/>
      <c r="C3" s="405"/>
    </row>
    <row r="4" spans="1:3" ht="70.5" customHeight="1">
      <c r="A4" s="15" t="s">
        <v>18</v>
      </c>
      <c r="B4" s="68" t="s">
        <v>229</v>
      </c>
      <c r="C4" s="17" t="e">
        <f>'1.1 Vortriebsdauer Kalotte HR'!H17</f>
        <v>#DIV/0!</v>
      </c>
    </row>
    <row r="5" spans="1:3" ht="70.5" customHeight="1">
      <c r="A5" s="15" t="s">
        <v>19</v>
      </c>
      <c r="B5" s="16" t="s">
        <v>230</v>
      </c>
      <c r="C5" s="17" t="e">
        <f>'1.4 Vortriebsdauer Str_So HR'!H13</f>
        <v>#DIV/0!</v>
      </c>
    </row>
    <row r="6" spans="1:3" ht="70.5" customHeight="1">
      <c r="A6" s="15" t="s">
        <v>20</v>
      </c>
      <c r="B6" s="142" t="s">
        <v>384</v>
      </c>
      <c r="C6" s="271"/>
    </row>
    <row r="7" spans="1:3" ht="70.5" customHeight="1">
      <c r="A7" s="406" t="s">
        <v>331</v>
      </c>
      <c r="B7" s="407"/>
      <c r="C7" s="41" t="e">
        <f>SUM(C4:C6)</f>
        <v>#DIV/0!</v>
      </c>
    </row>
  </sheetData>
  <sheetProtection algorithmName="SHA-512" hashValue="/D4m9G30wqutj/75KKHW2nFhpAG2MTOlNnZJ8WZreBJYPyHqvYQeWoT7968b5ae6V/s8AAXTXLtf+YoStUpnkg==" saltValue="zwYZQzacIaqBN9rJ9I90Tg==" spinCount="100000" sheet="1" objects="1" scenarios="1"/>
  <mergeCells count="2">
    <mergeCell ref="C2:C3"/>
    <mergeCell ref="A7:B7"/>
  </mergeCells>
  <phoneticPr fontId="11" type="noConversion"/>
  <conditionalFormatting sqref="A1:C6 A7 C7 A8:C16">
    <cfRule type="expression" dxfId="52" priority="1">
      <formula>CELL("Schutz",A1)=0</formula>
    </cfRule>
  </conditionalFormatting>
  <pageMargins left="0.70866141732283472" right="0.70866141732283472" top="0.78740157480314965" bottom="0.78740157480314965" header="0.31496062992125984" footer="0.31496062992125984"/>
  <pageSetup paperSize="9" scale="84" orientation="portrait" r:id="rId1"/>
  <headerFooter>
    <oddHeader>&amp;L&amp;"Arial,Fett"&amp;10Bieterangaben zeitgebundene Kosten Tunnel Kauerndorf
Unterlage 01.03-1.6 Ermittlung Vortriebsdauer Hauptröhre
&amp;R&amp;9...................................................
Bieter</oddHeader>
    <oddFooter>&amp;R&amp;A
Blattseite &amp;P</oddFooter>
  </headerFooter>
  <ignoredErrors>
    <ignoredError sqref="A4:A6"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B3B55-5ACF-4184-8BD5-6B66C04D3612}">
  <sheetPr>
    <tabColor theme="7" tint="0.39997558519241921"/>
  </sheetPr>
  <dimension ref="A2:L21"/>
  <sheetViews>
    <sheetView showGridLines="0" view="pageBreakPreview" zoomScaleNormal="100" zoomScaleSheetLayoutView="100" workbookViewId="0">
      <selection activeCell="A10" sqref="A10:F10"/>
    </sheetView>
  </sheetViews>
  <sheetFormatPr baseColWidth="10" defaultColWidth="11.25" defaultRowHeight="14.25"/>
  <cols>
    <col min="1" max="1" width="11.75" style="1" customWidth="1"/>
    <col min="2" max="2" width="7.875" style="1" customWidth="1"/>
    <col min="3" max="3" width="9.5" style="1" customWidth="1"/>
    <col min="4" max="4" width="13.125" style="1" customWidth="1"/>
    <col min="5" max="5" width="18.875" style="1" customWidth="1"/>
    <col min="6" max="8" width="18.875" style="28" customWidth="1"/>
    <col min="9" max="10" width="12.75" style="28" customWidth="1"/>
    <col min="11" max="12" width="16.75" style="28" customWidth="1"/>
  </cols>
  <sheetData>
    <row r="2" spans="1:9" s="5" customFormat="1" ht="33.75" customHeight="1">
      <c r="A2" s="380" t="s">
        <v>158</v>
      </c>
      <c r="B2" s="381"/>
      <c r="C2" s="381"/>
      <c r="D2" s="382"/>
      <c r="E2" s="378" t="s">
        <v>1</v>
      </c>
      <c r="F2" s="379"/>
      <c r="G2" s="48"/>
      <c r="H2" s="48" t="s">
        <v>2</v>
      </c>
      <c r="I2" s="127"/>
    </row>
    <row r="3" spans="1:9" s="4" customFormat="1" ht="85.5" customHeight="1">
      <c r="A3" s="47"/>
      <c r="B3" s="47" t="s">
        <v>27</v>
      </c>
      <c r="C3" s="47" t="s">
        <v>3</v>
      </c>
      <c r="D3" s="237" t="s">
        <v>329</v>
      </c>
      <c r="E3" s="48" t="s">
        <v>155</v>
      </c>
      <c r="F3" s="48" t="s">
        <v>157</v>
      </c>
      <c r="G3" s="141" t="s">
        <v>226</v>
      </c>
      <c r="H3" s="48" t="s">
        <v>156</v>
      </c>
      <c r="I3" s="93" t="s">
        <v>253</v>
      </c>
    </row>
    <row r="4" spans="1:9" s="3" customFormat="1" ht="35.25" customHeight="1">
      <c r="A4" s="160" t="s">
        <v>56</v>
      </c>
      <c r="B4" s="55"/>
      <c r="C4" s="55"/>
      <c r="D4" s="55"/>
      <c r="E4" s="55"/>
      <c r="F4" s="103"/>
      <c r="G4" s="128"/>
      <c r="H4" s="128"/>
      <c r="I4" s="128"/>
    </row>
    <row r="5" spans="1:9" s="3" customFormat="1" ht="17.25" customHeight="1">
      <c r="A5" s="296" t="s">
        <v>57</v>
      </c>
      <c r="B5" s="159" t="s">
        <v>146</v>
      </c>
      <c r="C5" s="295">
        <f>'2.2 Lohnstunden Ka_Str RST'!A4</f>
        <v>1.3</v>
      </c>
      <c r="D5" s="292">
        <v>171.3</v>
      </c>
      <c r="E5" s="172" t="e">
        <f>ROUND(F5/C5,2)</f>
        <v>#DIV/0!</v>
      </c>
      <c r="F5" s="172" t="e">
        <f>ROUND(G5/I5,2)</f>
        <v>#DIV/0!</v>
      </c>
      <c r="G5" s="29">
        <f>'1.0 Allgemeines'!F53</f>
        <v>0</v>
      </c>
      <c r="H5" s="29" t="e">
        <f>ROUND(D5/F5,2)</f>
        <v>#DIV/0!</v>
      </c>
      <c r="I5" s="172">
        <f>'2.2 Lohnstunden Ka_Str RST'!H17</f>
        <v>0</v>
      </c>
    </row>
    <row r="6" spans="1:9" s="3" customFormat="1" ht="17.25" customHeight="1">
      <c r="A6" s="296" t="s">
        <v>59</v>
      </c>
      <c r="B6" s="159" t="s">
        <v>148</v>
      </c>
      <c r="C6" s="295">
        <f>'2.2 Lohnstunden Ka_Str RST'!A38</f>
        <v>1</v>
      </c>
      <c r="D6" s="292">
        <v>32.6</v>
      </c>
      <c r="E6" s="172" t="e">
        <f>ROUND(F6/C6,2)</f>
        <v>#DIV/0!</v>
      </c>
      <c r="F6" s="172" t="e">
        <f>ROUND(G6/I6,2)</f>
        <v>#DIV/0!</v>
      </c>
      <c r="G6" s="29">
        <f>'1.0 Allgemeines'!F55</f>
        <v>0</v>
      </c>
      <c r="H6" s="29" t="e">
        <f>ROUND(D6/F6,2)</f>
        <v>#DIV/0!</v>
      </c>
      <c r="I6" s="172">
        <f>'2.2 Lohnstunden Ka_Str RST'!H55</f>
        <v>0</v>
      </c>
    </row>
    <row r="7" spans="1:9" s="4" customFormat="1" ht="17.25" customHeight="1">
      <c r="A7" s="410" t="s">
        <v>232</v>
      </c>
      <c r="B7" s="411"/>
      <c r="C7" s="411"/>
      <c r="D7" s="411"/>
      <c r="E7" s="411"/>
      <c r="F7" s="411"/>
      <c r="G7" s="189"/>
      <c r="H7" s="157"/>
      <c r="I7" s="165">
        <f>'2.2 Lohnstunden Ka_Str RST'!J17+'2.2 Lohnstunden Ka_Str RST'!J55</f>
        <v>0</v>
      </c>
    </row>
    <row r="8" spans="1:9" s="4" customFormat="1" ht="17.25" customHeight="1">
      <c r="A8" s="410" t="s">
        <v>149</v>
      </c>
      <c r="B8" s="411"/>
      <c r="C8" s="411"/>
      <c r="D8" s="411"/>
      <c r="E8" s="411"/>
      <c r="F8" s="411"/>
      <c r="G8" s="190"/>
      <c r="H8" s="46" t="e">
        <f>SUM(H5:H6)</f>
        <v>#DIV/0!</v>
      </c>
      <c r="I8" s="165"/>
    </row>
    <row r="9" spans="1:9" s="3" customFormat="1" ht="35.25" customHeight="1">
      <c r="A9" s="160" t="s">
        <v>56</v>
      </c>
      <c r="B9" s="55"/>
      <c r="C9" s="55"/>
      <c r="D9" s="55"/>
      <c r="E9" s="55"/>
      <c r="F9" s="103"/>
      <c r="G9" s="128"/>
      <c r="H9" s="128"/>
      <c r="I9" s="103"/>
    </row>
    <row r="10" spans="1:9" s="3" customFormat="1" ht="17.25" customHeight="1">
      <c r="A10" s="296" t="s">
        <v>58</v>
      </c>
      <c r="B10" s="159" t="s">
        <v>148</v>
      </c>
      <c r="C10" s="295">
        <f>'2.2 Lohnstunden Ka_Str RST'!A21</f>
        <v>1.3</v>
      </c>
      <c r="D10" s="159">
        <f>23.7</f>
        <v>23.7</v>
      </c>
      <c r="E10" s="172" t="e">
        <f>ROUND(F10/C10,2)</f>
        <v>#DIV/0!</v>
      </c>
      <c r="F10" s="172" t="e">
        <f>ROUND(G10/I10,2)</f>
        <v>#DIV/0!</v>
      </c>
      <c r="G10" s="29">
        <f>'1.0 Allgemeines'!F54</f>
        <v>0</v>
      </c>
      <c r="H10" s="29" t="e">
        <f>ROUND(D10/F10,2)</f>
        <v>#DIV/0!</v>
      </c>
      <c r="I10" s="172">
        <f>'2.2 Lohnstunden Ka_Str RST'!H34</f>
        <v>0</v>
      </c>
    </row>
    <row r="11" spans="1:9" s="4" customFormat="1" ht="17.25" customHeight="1">
      <c r="A11" s="410" t="s">
        <v>233</v>
      </c>
      <c r="B11" s="411"/>
      <c r="C11" s="411"/>
      <c r="D11" s="411"/>
      <c r="E11" s="411"/>
      <c r="F11" s="411"/>
      <c r="G11" s="189"/>
      <c r="H11" s="157"/>
      <c r="I11" s="165">
        <f>'2.2 Lohnstunden Ka_Str RST'!J34</f>
        <v>0</v>
      </c>
    </row>
    <row r="12" spans="1:9" s="4" customFormat="1" ht="17.25" customHeight="1">
      <c r="A12" s="410" t="s">
        <v>145</v>
      </c>
      <c r="B12" s="411"/>
      <c r="C12" s="411"/>
      <c r="D12" s="411"/>
      <c r="E12" s="411"/>
      <c r="F12" s="411"/>
      <c r="G12" s="190"/>
      <c r="H12" s="46" t="e">
        <f>SUM(H10:H10)</f>
        <v>#DIV/0!</v>
      </c>
      <c r="I12" s="165"/>
    </row>
    <row r="13" spans="1:9" s="3" customFormat="1" ht="35.25" customHeight="1">
      <c r="A13" s="160" t="s">
        <v>56</v>
      </c>
      <c r="B13" s="55"/>
      <c r="C13" s="55"/>
      <c r="D13" s="55"/>
      <c r="E13" s="55"/>
      <c r="F13" s="103"/>
      <c r="G13" s="128"/>
      <c r="H13" s="128"/>
      <c r="I13" s="103"/>
    </row>
    <row r="14" spans="1:9" s="3" customFormat="1" ht="17.25" customHeight="1">
      <c r="A14" s="296" t="s">
        <v>57</v>
      </c>
      <c r="B14" s="159" t="s">
        <v>147</v>
      </c>
      <c r="C14" s="295">
        <f>'2.2 Lohnstunden Ka_Str RST'!A4</f>
        <v>1.3</v>
      </c>
      <c r="D14" s="159">
        <f>16.1</f>
        <v>16.100000000000001</v>
      </c>
      <c r="E14" s="172" t="e">
        <f>ROUND(F14/C14,2)</f>
        <v>#DIV/0!</v>
      </c>
      <c r="F14" s="172" t="e">
        <f>ROUND(G14/I14,2)</f>
        <v>#DIV/0!</v>
      </c>
      <c r="G14" s="29">
        <f>'1.0 Allgemeines'!F53</f>
        <v>0</v>
      </c>
      <c r="H14" s="29" t="e">
        <f>ROUND(D14/F14,2)</f>
        <v>#DIV/0!</v>
      </c>
      <c r="I14" s="172">
        <f>'2.2 Lohnstunden Ka_Str RST'!H18</f>
        <v>0</v>
      </c>
    </row>
    <row r="15" spans="1:9" s="3" customFormat="1" ht="17.25" customHeight="1">
      <c r="A15" s="296" t="s">
        <v>58</v>
      </c>
      <c r="B15" s="159" t="s">
        <v>147</v>
      </c>
      <c r="C15" s="295">
        <f>'2.2 Lohnstunden Ka_Str RST'!A21</f>
        <v>1.3</v>
      </c>
      <c r="D15" s="159">
        <f>13.7</f>
        <v>13.7</v>
      </c>
      <c r="E15" s="172" t="e">
        <f>ROUND(F15/C15,2)</f>
        <v>#DIV/0!</v>
      </c>
      <c r="F15" s="172" t="e">
        <f>ROUND(G15/I15,2)</f>
        <v>#DIV/0!</v>
      </c>
      <c r="G15" s="29">
        <f>'1.0 Allgemeines'!F54</f>
        <v>0</v>
      </c>
      <c r="H15" s="29" t="e">
        <f>ROUND(D15/F15,2)</f>
        <v>#DIV/0!</v>
      </c>
      <c r="I15" s="172">
        <f>'2.2 Lohnstunden Ka_Str RST'!H35</f>
        <v>0</v>
      </c>
    </row>
    <row r="16" spans="1:9" s="3" customFormat="1" ht="17.25" customHeight="1">
      <c r="A16" s="296" t="s">
        <v>59</v>
      </c>
      <c r="B16" s="159" t="s">
        <v>147</v>
      </c>
      <c r="C16" s="295">
        <f>'2.2 Lohnstunden Ka_Str RST'!A38</f>
        <v>1</v>
      </c>
      <c r="D16" s="292">
        <f>8</f>
        <v>8</v>
      </c>
      <c r="E16" s="172" t="e">
        <f>ROUND(F16/C16,2)</f>
        <v>#DIV/0!</v>
      </c>
      <c r="F16" s="172" t="e">
        <f>ROUND(G16/I16,2)</f>
        <v>#DIV/0!</v>
      </c>
      <c r="G16" s="29">
        <f>'1.0 Allgemeines'!F55</f>
        <v>0</v>
      </c>
      <c r="H16" s="29" t="e">
        <f>ROUND(D16/F16,2)</f>
        <v>#DIV/0!</v>
      </c>
      <c r="I16" s="172">
        <f>'2.2 Lohnstunden Ka_Str RST'!H56</f>
        <v>0</v>
      </c>
    </row>
    <row r="17" spans="1:12" s="4" customFormat="1" ht="17.25" customHeight="1">
      <c r="A17" s="408" t="s">
        <v>231</v>
      </c>
      <c r="B17" s="409"/>
      <c r="C17" s="409"/>
      <c r="D17" s="409"/>
      <c r="E17" s="409"/>
      <c r="F17" s="409"/>
      <c r="G17" s="189"/>
      <c r="H17" s="157"/>
      <c r="I17" s="165">
        <f>'2.2 Lohnstunden Ka_Str RST'!J18+'2.2 Lohnstunden Ka_Str RST'!J35+'2.2 Lohnstunden Ka_Str RST'!J56</f>
        <v>0</v>
      </c>
    </row>
    <row r="18" spans="1:12" s="4" customFormat="1" ht="17.25" customHeight="1">
      <c r="A18" s="408" t="s">
        <v>150</v>
      </c>
      <c r="B18" s="409"/>
      <c r="C18" s="409"/>
      <c r="D18" s="409"/>
      <c r="E18" s="409"/>
      <c r="F18" s="409"/>
      <c r="G18" s="190"/>
      <c r="H18" s="46" t="e">
        <f>SUM(H14:H16)</f>
        <v>#DIV/0!</v>
      </c>
      <c r="I18" s="46"/>
    </row>
    <row r="19" spans="1:12">
      <c r="J19"/>
      <c r="K19"/>
      <c r="L19"/>
    </row>
    <row r="20" spans="1:12">
      <c r="A20" s="319" t="s">
        <v>330</v>
      </c>
      <c r="J20"/>
      <c r="K20"/>
      <c r="L20"/>
    </row>
    <row r="21" spans="1:12">
      <c r="J21"/>
      <c r="K21"/>
      <c r="L21"/>
    </row>
  </sheetData>
  <sheetProtection algorithmName="SHA-512" hashValue="YkzF1yPrMNEkhKgR4euy0yioErModXUhKZoX+cNPx6M6Usl6se3uaWF8vIapgttrjgXb7qlDeGLj2csiIqCMcg==" saltValue="Da22fIHTlphNAb3xoIIicw==" spinCount="100000" sheet="1" objects="1" scenarios="1"/>
  <mergeCells count="8">
    <mergeCell ref="A18:F18"/>
    <mergeCell ref="A2:D2"/>
    <mergeCell ref="E2:F2"/>
    <mergeCell ref="A17:F17"/>
    <mergeCell ref="A8:F8"/>
    <mergeCell ref="A7:F7"/>
    <mergeCell ref="A12:F12"/>
    <mergeCell ref="A11:F11"/>
  </mergeCells>
  <phoneticPr fontId="11" type="noConversion"/>
  <conditionalFormatting sqref="A2 E2 G2:I2">
    <cfRule type="expression" dxfId="51" priority="13">
      <formula>CELL("Schutz",A2)=0</formula>
    </cfRule>
  </conditionalFormatting>
  <conditionalFormatting sqref="A1:I2 A3:C3 E3:I3 A4:I19 B20:I20 A21:I23">
    <cfRule type="expression" dxfId="50" priority="3">
      <formula>CELL("Schutz",A1)=0</formula>
    </cfRule>
  </conditionalFormatting>
  <conditionalFormatting sqref="A3:I3">
    <cfRule type="expression" dxfId="49" priority="1">
      <formula>CELL("Schutz",A3)=0</formula>
    </cfRule>
  </conditionalFormatting>
  <conditionalFormatting sqref="A7:I9 A11:I13 A17:I19 A1:I1 A4:I4 A5:D7 G5:G7 I5:I7 A10:D11 G10:G11 I10:I11 A14:D17 G14:G17 I14:I17">
    <cfRule type="expression" dxfId="48" priority="14">
      <formula>CELL("Schutz",A1)=0</formula>
    </cfRule>
  </conditionalFormatting>
  <conditionalFormatting sqref="E5:F7">
    <cfRule type="expression" dxfId="47" priority="12">
      <formula>CELL("Schutz",E5)=0</formula>
    </cfRule>
  </conditionalFormatting>
  <conditionalFormatting sqref="E10:F11">
    <cfRule type="expression" dxfId="46" priority="11">
      <formula>CELL("Schutz",E10)=0</formula>
    </cfRule>
  </conditionalFormatting>
  <conditionalFormatting sqref="E14:F17">
    <cfRule type="expression" dxfId="45" priority="10">
      <formula>CELL("Schutz",E14)=0</formula>
    </cfRule>
  </conditionalFormatting>
  <conditionalFormatting sqref="H5:H7">
    <cfRule type="expression" dxfId="44" priority="8">
      <formula>CELL("Schutz",H5)=0</formula>
    </cfRule>
  </conditionalFormatting>
  <conditionalFormatting sqref="H10:H11">
    <cfRule type="expression" dxfId="43" priority="7">
      <formula>CELL("Schutz",H10)=0</formula>
    </cfRule>
  </conditionalFormatting>
  <conditionalFormatting sqref="H14:H17">
    <cfRule type="expression" dxfId="42" priority="4">
      <formula>CELL("Schutz",H14)=0</formula>
    </cfRule>
  </conditionalFormatting>
  <pageMargins left="0.70866141732283472" right="0.70866141732283472" top="0.78740157480314965" bottom="0.78740157480314965" header="0.31496062992125984" footer="0.31496062992125984"/>
  <pageSetup paperSize="9" scale="89" orientation="landscape" useFirstPageNumber="1" r:id="rId1"/>
  <headerFooter>
    <oddHeader>&amp;L&amp;"Arial,Fett"&amp;10Bieterangaben zeitgebundene Kosten Tunnel Kauerndorf
Unterlage 01.03-2.1 - Ermittlung der Vortriebsdauer Kalotte/Strosse Rettungsstollen&amp;R&amp;9.....................................................
Bieter</oddHeader>
    <oddFooter>&amp;R&amp;A
Blattseite &amp;P</oddFooter>
    <firstFooter>&amp;R&amp;P</first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24</vt:i4>
      </vt:variant>
    </vt:vector>
  </HeadingPairs>
  <TitlesOfParts>
    <vt:vector size="43" baseType="lpstr">
      <vt:lpstr>1.0 Allgemeines</vt:lpstr>
      <vt:lpstr>1.0a Rüstzeiten</vt:lpstr>
      <vt:lpstr>1.1 Vortriebsdauer Kalotte HR</vt:lpstr>
      <vt:lpstr>1.2 Lohnstunden Kalotte HR</vt:lpstr>
      <vt:lpstr>1.3 Lohnstunden sonst. TL HR</vt:lpstr>
      <vt:lpstr>1.4 Vortriebsdauer Str_So HR</vt:lpstr>
      <vt:lpstr>1.5 Lohnstunden Str_So HR</vt:lpstr>
      <vt:lpstr>1.6 Vortriebsdauer HR</vt:lpstr>
      <vt:lpstr>2.1 Vortriebsdauer Ka_Str RST</vt:lpstr>
      <vt:lpstr>2.2 Lohnstunden Ka_Str RST</vt:lpstr>
      <vt:lpstr>2.3 Vortriebsdauer So RST</vt:lpstr>
      <vt:lpstr>2.4 Lohnstunden So RST</vt:lpstr>
      <vt:lpstr>2.5 Vortriebsdauer RST</vt:lpstr>
      <vt:lpstr>3.1 Vortriebsdauer Str_So LB</vt:lpstr>
      <vt:lpstr>3.2 Lohnstunden Str_So LB</vt:lpstr>
      <vt:lpstr>3.3 Vortriebsdauer LB</vt:lpstr>
      <vt:lpstr>4.1 Teilbauzeit 2</vt:lpstr>
      <vt:lpstr>4.2 Gesamtbauzeit</vt:lpstr>
      <vt:lpstr>5 Gesamtbetonierzeit</vt:lpstr>
      <vt:lpstr>'1.0a Rüstzeiten'!Druckbereich</vt:lpstr>
      <vt:lpstr>'1.2 Lohnstunden Kalotte HR'!Druckbereich</vt:lpstr>
      <vt:lpstr>'1.3 Lohnstunden sonst. TL HR'!Druckbereich</vt:lpstr>
      <vt:lpstr>'2.2 Lohnstunden Ka_Str RST'!Druckbereich</vt:lpstr>
      <vt:lpstr>'2.4 Lohnstunden So RST'!Druckbereich</vt:lpstr>
      <vt:lpstr>'3.2 Lohnstunden Str_So LB'!Druckbereich</vt:lpstr>
      <vt:lpstr>'1.2 Lohnstunden Kalotte HR'!Drucktitel</vt:lpstr>
      <vt:lpstr>'1.3 Lohnstunden sonst. TL HR'!Drucktitel</vt:lpstr>
      <vt:lpstr>'1.5 Lohnstunden Str_So HR'!Drucktitel</vt:lpstr>
      <vt:lpstr>'2.2 Lohnstunden Ka_Str RST'!Drucktitel</vt:lpstr>
      <vt:lpstr>'2.4 Lohnstunden So RST'!Drucktitel</vt:lpstr>
      <vt:lpstr>'3.2 Lohnstunden Str_So LB'!Drucktitel</vt:lpstr>
      <vt:lpstr>'1.2 Lohnstunden Kalotte HR'!Print_Area</vt:lpstr>
      <vt:lpstr>'1.3 Lohnstunden sonst. TL HR'!Print_Area</vt:lpstr>
      <vt:lpstr>'1.5 Lohnstunden Str_So HR'!Print_Area</vt:lpstr>
      <vt:lpstr>'2.2 Lohnstunden Ka_Str RST'!Print_Area</vt:lpstr>
      <vt:lpstr>'2.4 Lohnstunden So RST'!Print_Area</vt:lpstr>
      <vt:lpstr>'3.2 Lohnstunden Str_So LB'!Print_Area</vt:lpstr>
      <vt:lpstr>'1.2 Lohnstunden Kalotte HR'!Print_Titles</vt:lpstr>
      <vt:lpstr>'1.3 Lohnstunden sonst. TL HR'!Print_Titles</vt:lpstr>
      <vt:lpstr>'1.5 Lohnstunden Str_So HR'!Print_Titles</vt:lpstr>
      <vt:lpstr>'2.2 Lohnstunden Ka_Str RST'!Print_Titles</vt:lpstr>
      <vt:lpstr>'2.4 Lohnstunden So RST'!Print_Titles</vt:lpstr>
      <vt:lpstr>'3.2 Lohnstunden Str_So LB'!Print_Titles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FRANZLER</dc:creator>
  <cp:lastModifiedBy>Nathan TORGGLER</cp:lastModifiedBy>
  <cp:lastPrinted>2025-12-15T13:17:03Z</cp:lastPrinted>
  <dcterms:created xsi:type="dcterms:W3CDTF">2015-09-02T08:39:42Z</dcterms:created>
  <dcterms:modified xsi:type="dcterms:W3CDTF">2025-12-16T09:40:56Z</dcterms:modified>
</cp:coreProperties>
</file>